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3\"/>
    </mc:Choice>
  </mc:AlternateContent>
  <xr:revisionPtr revIDLastSave="0" documentId="13_ncr:1_{90A4A46A-1125-4C8B-9225-E6A3C4A434CA}" xr6:coauthVersionLast="47" xr6:coauthVersionMax="47" xr10:uidLastSave="{00000000-0000-0000-0000-000000000000}"/>
  <bookViews>
    <workbookView xWindow="-110" yWindow="-110" windowWidth="19420" windowHeight="11500" xr2:uid="{A6B7B21C-0AE2-4CE7-AECC-6FC3175AF997}"/>
  </bookViews>
  <sheets>
    <sheet name="3º TRIMESTRE" sheetId="1" r:id="rId1"/>
  </sheets>
  <definedNames>
    <definedName name="_xlnm.Print_Area" localSheetId="0">'3º TRIMESTRE'!$A$2:$J$575</definedName>
    <definedName name="DatosExternos_1" localSheetId="0">'3º TRIMESTRE'!$A$9:$M$131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5" i="1" l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K29" i="1"/>
  <c r="L29" i="1"/>
  <c r="M29" i="1"/>
  <c r="K13" i="1"/>
  <c r="L13" i="1"/>
  <c r="M13" i="1"/>
  <c r="K14" i="1"/>
  <c r="L14" i="1"/>
  <c r="M14" i="1"/>
  <c r="K11" i="1"/>
  <c r="L11" i="1"/>
  <c r="M11" i="1"/>
  <c r="K82" i="1"/>
  <c r="L82" i="1"/>
  <c r="M82" i="1"/>
  <c r="K77" i="1"/>
  <c r="L77" i="1"/>
  <c r="M77" i="1"/>
  <c r="K65" i="1"/>
  <c r="L65" i="1"/>
  <c r="M65" i="1"/>
  <c r="K61" i="1"/>
  <c r="L61" i="1"/>
  <c r="M61" i="1"/>
  <c r="K62" i="1"/>
  <c r="L62" i="1"/>
  <c r="M62" i="1"/>
  <c r="K64" i="1"/>
  <c r="L64" i="1"/>
  <c r="M64" i="1"/>
  <c r="K63" i="1"/>
  <c r="L63" i="1"/>
  <c r="M63" i="1"/>
  <c r="K113" i="1"/>
  <c r="L113" i="1"/>
  <c r="M113" i="1"/>
  <c r="K44" i="1"/>
  <c r="L44" i="1"/>
  <c r="M44" i="1"/>
  <c r="K46" i="1"/>
  <c r="L46" i="1"/>
  <c r="M46" i="1"/>
  <c r="K125" i="1"/>
  <c r="L125" i="1"/>
  <c r="M125" i="1"/>
  <c r="K74" i="1"/>
  <c r="L74" i="1"/>
  <c r="M74" i="1"/>
  <c r="K39" i="1"/>
  <c r="L39" i="1"/>
  <c r="M39" i="1"/>
  <c r="K78" i="1"/>
  <c r="L78" i="1"/>
  <c r="M78" i="1"/>
  <c r="K119" i="1"/>
  <c r="L119" i="1"/>
  <c r="M119" i="1"/>
  <c r="K53" i="1"/>
  <c r="L53" i="1"/>
  <c r="M53" i="1"/>
  <c r="K20" i="1"/>
  <c r="L20" i="1"/>
  <c r="M20" i="1"/>
  <c r="K9" i="1"/>
  <c r="L9" i="1"/>
  <c r="M9" i="1"/>
  <c r="K85" i="1"/>
  <c r="L85" i="1"/>
  <c r="M85" i="1"/>
  <c r="K75" i="1"/>
  <c r="L75" i="1"/>
  <c r="M75" i="1"/>
  <c r="K19" i="1"/>
  <c r="L19" i="1"/>
  <c r="M19" i="1"/>
  <c r="K79" i="1"/>
  <c r="L79" i="1"/>
  <c r="M79" i="1"/>
  <c r="K70" i="1"/>
  <c r="L70" i="1"/>
  <c r="M70" i="1"/>
  <c r="K67" i="1"/>
  <c r="L67" i="1"/>
  <c r="M67" i="1"/>
  <c r="K120" i="1"/>
  <c r="L120" i="1"/>
  <c r="M120" i="1"/>
  <c r="K122" i="1"/>
  <c r="L122" i="1"/>
  <c r="M122" i="1"/>
  <c r="K126" i="1"/>
  <c r="L126" i="1"/>
  <c r="M126" i="1"/>
  <c r="K124" i="1"/>
  <c r="L124" i="1"/>
  <c r="M124" i="1"/>
  <c r="K129" i="1"/>
  <c r="L129" i="1"/>
  <c r="M129" i="1"/>
  <c r="K55" i="1"/>
  <c r="L55" i="1"/>
  <c r="M55" i="1"/>
  <c r="K127" i="1"/>
  <c r="L127" i="1"/>
  <c r="M127" i="1"/>
  <c r="K68" i="1"/>
  <c r="L68" i="1"/>
  <c r="M68" i="1"/>
  <c r="K48" i="1"/>
  <c r="L48" i="1"/>
  <c r="M48" i="1"/>
  <c r="K52" i="1"/>
  <c r="L52" i="1"/>
  <c r="M52" i="1"/>
  <c r="K66" i="1"/>
  <c r="L66" i="1"/>
  <c r="M66" i="1"/>
  <c r="K118" i="1"/>
  <c r="L118" i="1"/>
  <c r="M118" i="1"/>
  <c r="K84" i="1"/>
  <c r="L84" i="1"/>
  <c r="M84" i="1"/>
  <c r="K114" i="1"/>
  <c r="L114" i="1"/>
  <c r="M114" i="1"/>
  <c r="K112" i="1"/>
  <c r="L112" i="1"/>
  <c r="M112" i="1"/>
  <c r="K116" i="1"/>
  <c r="L116" i="1"/>
  <c r="M116" i="1"/>
  <c r="K56" i="1"/>
  <c r="L56" i="1"/>
  <c r="M56" i="1"/>
  <c r="K117" i="1"/>
  <c r="L117" i="1"/>
  <c r="M117" i="1"/>
  <c r="K115" i="1"/>
  <c r="L115" i="1"/>
  <c r="M115" i="1"/>
  <c r="K15" i="1"/>
  <c r="L15" i="1"/>
  <c r="M15" i="1"/>
  <c r="K16" i="1"/>
  <c r="L16" i="1"/>
  <c r="M16" i="1"/>
  <c r="K34" i="1"/>
  <c r="L34" i="1"/>
  <c r="M34" i="1"/>
  <c r="K41" i="1"/>
  <c r="L41" i="1"/>
  <c r="M41" i="1"/>
  <c r="K58" i="1"/>
  <c r="L58" i="1"/>
  <c r="M58" i="1"/>
  <c r="K59" i="1"/>
  <c r="L59" i="1"/>
  <c r="M59" i="1"/>
  <c r="K21" i="1"/>
  <c r="L21" i="1"/>
  <c r="K23" i="1"/>
  <c r="L23" i="1"/>
  <c r="M23" i="1"/>
  <c r="K36" i="1"/>
  <c r="L36" i="1"/>
  <c r="M36" i="1"/>
  <c r="K33" i="1"/>
  <c r="L33" i="1"/>
  <c r="M33" i="1"/>
  <c r="K30" i="1"/>
  <c r="L30" i="1"/>
  <c r="M30" i="1"/>
  <c r="K25" i="1"/>
  <c r="L25" i="1"/>
  <c r="M25" i="1"/>
  <c r="K26" i="1"/>
  <c r="L26" i="1"/>
  <c r="M26" i="1"/>
  <c r="K27" i="1"/>
  <c r="L27" i="1"/>
  <c r="M27" i="1"/>
  <c r="K28" i="1"/>
  <c r="L28" i="1"/>
  <c r="M28" i="1"/>
  <c r="K31" i="1"/>
  <c r="L31" i="1"/>
  <c r="M31" i="1"/>
  <c r="K35" i="1"/>
  <c r="L35" i="1"/>
  <c r="M35" i="1"/>
  <c r="K43" i="1"/>
  <c r="L43" i="1"/>
  <c r="M43" i="1"/>
  <c r="K32" i="1"/>
  <c r="L32" i="1"/>
  <c r="M32" i="1"/>
  <c r="K12" i="1"/>
  <c r="L12" i="1"/>
  <c r="M12" i="1"/>
  <c r="K22" i="1"/>
  <c r="L22" i="1"/>
  <c r="M22" i="1"/>
  <c r="K38" i="1"/>
  <c r="L38" i="1"/>
  <c r="M38" i="1"/>
  <c r="K37" i="1"/>
  <c r="L37" i="1"/>
  <c r="M37" i="1"/>
  <c r="K51" i="1"/>
  <c r="L51" i="1"/>
  <c r="M51" i="1"/>
  <c r="K40" i="1"/>
  <c r="L40" i="1"/>
  <c r="M40" i="1"/>
  <c r="K24" i="1"/>
  <c r="L24" i="1"/>
  <c r="M24" i="1"/>
  <c r="K42" i="1"/>
  <c r="L42" i="1"/>
  <c r="M42" i="1"/>
  <c r="K49" i="1"/>
  <c r="L49" i="1"/>
  <c r="M49" i="1"/>
  <c r="K60" i="1"/>
  <c r="L60" i="1"/>
  <c r="M60" i="1"/>
  <c r="K45" i="1"/>
  <c r="L45" i="1"/>
  <c r="M45" i="1"/>
  <c r="K50" i="1"/>
  <c r="L50" i="1"/>
  <c r="M50" i="1"/>
  <c r="K47" i="1"/>
  <c r="L47" i="1"/>
  <c r="M47" i="1"/>
  <c r="K123" i="1"/>
  <c r="L123" i="1"/>
  <c r="M123" i="1"/>
  <c r="K54" i="1"/>
  <c r="L54" i="1"/>
  <c r="M54" i="1"/>
  <c r="K131" i="1"/>
  <c r="L131" i="1"/>
  <c r="M131" i="1"/>
  <c r="K71" i="1"/>
  <c r="L71" i="1"/>
  <c r="M71" i="1"/>
  <c r="K72" i="1"/>
  <c r="L72" i="1"/>
  <c r="M72" i="1"/>
  <c r="K69" i="1"/>
  <c r="L69" i="1"/>
  <c r="M69" i="1"/>
  <c r="K130" i="1"/>
  <c r="L130" i="1"/>
  <c r="M130" i="1"/>
  <c r="K73" i="1"/>
  <c r="L73" i="1"/>
  <c r="M73" i="1"/>
  <c r="K121" i="1"/>
  <c r="L121" i="1"/>
  <c r="M121" i="1"/>
  <c r="K83" i="1"/>
  <c r="L83" i="1"/>
  <c r="M83" i="1"/>
  <c r="K99" i="1"/>
  <c r="L99" i="1"/>
  <c r="M99" i="1"/>
  <c r="K96" i="1"/>
  <c r="L96" i="1"/>
  <c r="M96" i="1"/>
  <c r="K88" i="1"/>
  <c r="L88" i="1"/>
  <c r="M88" i="1"/>
  <c r="K100" i="1"/>
  <c r="L100" i="1"/>
  <c r="M100" i="1"/>
  <c r="K101" i="1"/>
  <c r="L101" i="1"/>
  <c r="M101" i="1"/>
  <c r="K102" i="1"/>
  <c r="L102" i="1"/>
  <c r="M102" i="1"/>
  <c r="K89" i="1"/>
  <c r="L89" i="1"/>
  <c r="M89" i="1"/>
  <c r="K94" i="1"/>
  <c r="L94" i="1"/>
  <c r="M94" i="1"/>
  <c r="K90" i="1"/>
  <c r="L90" i="1"/>
  <c r="M90" i="1"/>
  <c r="K93" i="1"/>
  <c r="L93" i="1"/>
  <c r="M93" i="1"/>
  <c r="K103" i="1"/>
  <c r="L103" i="1"/>
  <c r="M103" i="1"/>
  <c r="K104" i="1"/>
  <c r="L104" i="1"/>
  <c r="M104" i="1"/>
  <c r="K92" i="1"/>
  <c r="L92" i="1"/>
  <c r="M92" i="1"/>
  <c r="K105" i="1"/>
  <c r="L105" i="1"/>
  <c r="M105" i="1"/>
  <c r="K106" i="1"/>
  <c r="L106" i="1"/>
  <c r="M106" i="1"/>
  <c r="K97" i="1"/>
  <c r="L97" i="1"/>
  <c r="M97" i="1"/>
  <c r="K107" i="1"/>
  <c r="L107" i="1"/>
  <c r="M107" i="1"/>
  <c r="K98" i="1"/>
  <c r="L98" i="1"/>
  <c r="M98" i="1"/>
  <c r="K108" i="1"/>
  <c r="L108" i="1"/>
  <c r="M108" i="1"/>
  <c r="K95" i="1"/>
  <c r="L95" i="1"/>
  <c r="M95" i="1"/>
  <c r="K109" i="1"/>
  <c r="L109" i="1"/>
  <c r="M109" i="1"/>
  <c r="K110" i="1"/>
  <c r="L110" i="1"/>
  <c r="M110" i="1"/>
  <c r="K91" i="1"/>
  <c r="L91" i="1"/>
  <c r="M91" i="1"/>
  <c r="K86" i="1"/>
  <c r="L86" i="1"/>
  <c r="M86" i="1"/>
  <c r="K111" i="1"/>
  <c r="L111" i="1"/>
  <c r="M111" i="1"/>
  <c r="K87" i="1"/>
  <c r="L87" i="1"/>
  <c r="M87" i="1"/>
  <c r="K17" i="1"/>
  <c r="L17" i="1"/>
  <c r="M17" i="1"/>
  <c r="K128" i="1"/>
  <c r="L128" i="1"/>
  <c r="M128" i="1"/>
  <c r="K76" i="1"/>
  <c r="L76" i="1"/>
  <c r="M76" i="1"/>
  <c r="K81" i="1"/>
  <c r="L81" i="1"/>
  <c r="M81" i="1"/>
  <c r="K57" i="1"/>
  <c r="L57" i="1"/>
  <c r="M57" i="1"/>
  <c r="K80" i="1"/>
  <c r="L80" i="1"/>
  <c r="M80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<sst xmlns="http://schemas.openxmlformats.org/spreadsheetml/2006/main" count="1705" uniqueCount="84">
  <si>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</si>
  <si>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</si>
  <si>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</si>
  <si>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</si>
  <si>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</si>
  <si>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</si>
  <si>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</si>
  <si>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</si>
  <si>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</si>
  <si>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</si>
  <si>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</si>
  <si>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</si>
  <si>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</si>
  <si>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</si>
  <si>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BANDA MÚSICA</t>
  </si>
  <si>
    <t>CARNAVAL</t>
  </si>
  <si>
    <t>ESPACIO MILLER</t>
  </si>
  <si>
    <t>DISTRITO CULTURA</t>
  </si>
  <si>
    <t>PALACETE QUEGLES</t>
  </si>
  <si>
    <t>MUSICANDO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</si>
  <si>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</si>
  <si>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</si>
  <si>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</si>
  <si>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</si>
  <si>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</si>
  <si>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</si>
  <si>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</si>
  <si>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</si>
  <si>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</si>
  <si>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</si>
  <si>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seguro médico</t>
  </si>
  <si>
    <t>Electricidad</t>
  </si>
  <si>
    <t>Seguridad</t>
  </si>
  <si>
    <t>Infraestructura</t>
  </si>
  <si>
    <t>Cachet</t>
  </si>
  <si>
    <t>Prensa</t>
  </si>
  <si>
    <t>Producción Artistica</t>
  </si>
  <si>
    <t xml:space="preserve">Transportes </t>
  </si>
  <si>
    <t xml:space="preserve">Asesoría Laboral </t>
  </si>
  <si>
    <t>FIESTAS FUNDACIONALES</t>
  </si>
  <si>
    <t>azafatas</t>
  </si>
  <si>
    <t>marketing</t>
  </si>
  <si>
    <t>transportes</t>
  </si>
  <si>
    <t>premios</t>
  </si>
  <si>
    <t>cachets</t>
  </si>
  <si>
    <t>limpieza</t>
  </si>
  <si>
    <t>catering</t>
  </si>
  <si>
    <t>seguros</t>
  </si>
  <si>
    <t>asesoría laboral</t>
  </si>
  <si>
    <t>ESP.CULT.TAMARACEITE</t>
  </si>
  <si>
    <t>FESTIVAL CINE</t>
  </si>
  <si>
    <t>WOMAD</t>
  </si>
  <si>
    <t>TEATRO Y DANZA</t>
  </si>
  <si>
    <t>correo electrónico</t>
  </si>
  <si>
    <t>mantenimiento</t>
  </si>
  <si>
    <t>telefonía</t>
  </si>
  <si>
    <t>gasoil</t>
  </si>
  <si>
    <t>material informático</t>
  </si>
  <si>
    <t>compra libros</t>
  </si>
  <si>
    <t>CONTRATOS MENORES - TERCER TRIMESTRE 2023</t>
  </si>
  <si>
    <t>JULIO</t>
  </si>
  <si>
    <t>AGOSTO</t>
  </si>
  <si>
    <t>SEPTIEMBRE</t>
  </si>
  <si>
    <t>NAVIIDAD</t>
  </si>
  <si>
    <t>jurado</t>
  </si>
  <si>
    <t>comidas festival</t>
  </si>
  <si>
    <t>aduanas</t>
  </si>
  <si>
    <t>asistencia sanitaria</t>
  </si>
  <si>
    <t>mantenim. Informático</t>
  </si>
  <si>
    <t>varios</t>
  </si>
  <si>
    <t>producción artística</t>
  </si>
  <si>
    <t>lavandería</t>
  </si>
  <si>
    <t>trofeos</t>
  </si>
  <si>
    <t>servicio bomberos</t>
  </si>
  <si>
    <t>plan de igualdad</t>
  </si>
  <si>
    <t>plataforma entradas</t>
  </si>
  <si>
    <t>comidas cine</t>
  </si>
  <si>
    <t xml:space="preserve">mantenimiento  </t>
  </si>
  <si>
    <t>comidas carnaval</t>
  </si>
  <si>
    <t>uniformes</t>
  </si>
  <si>
    <t>colaboración eventos</t>
  </si>
  <si>
    <t>reconocim. Médicos</t>
  </si>
  <si>
    <t>comidas teatro</t>
  </si>
  <si>
    <t>cuotas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</si>
</sst>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575"/>
  <sheetViews>
    <sheetView tabSelected="1" workbookViewId="0"/>
  </sheetViews>
  <sheetFormatPr baseColWidth="10" defaultColWidth="11.453125" defaultRowHeight="12.5" x14ac:dyDescent="0.25"/>
  <cols>
    <col min="1" max="1" width="13.7265625" style="8" customWidth="1"/>
    <col min="2" max="2" width="25.54296875" style="8" customWidth="1"/>
    <col min="3" max="3" width="22.453125" style="8" customWidth="1"/>
    <col min="4" max="4" width="16.54296875" style="10" customWidth="1"/>
    <col min="5" max="5" width="38.7265625" style="3" customWidth="1"/>
    <col min="6" max="6" width="10.7265625" style="2" customWidth="1"/>
    <col min="7" max="7" width="29" style="7" customWidth="1"/>
    <col min="8" max="8" width="30.54296875" style="4" customWidth="1"/>
    <col min="9" max="9" width="22.1796875" style="4" customWidth="1"/>
    <col min="10" max="10" width="20.81640625" style="17" customWidth="1"/>
    <col min="11" max="11" width="11.7265625" style="3" customWidth="1"/>
    <col min="12" max="13" width="16.7265625" style="5" customWidth="1"/>
    <col min="14" max="16384" width="11.453125" style="1"/>
  </cols>
  <sheetData>
    <row r="1" spans="1:13" ht="15.5" x14ac:dyDescent="0.3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5" x14ac:dyDescent="0.3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4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</row>
    <row r="4" spans="1:13" ht="15.5" x14ac:dyDescent="0.3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5" x14ac:dyDescent="0.3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5" x14ac:dyDescent="0.3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3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35">
      <c r="A8" s="20" t="s">
        <v>60</v>
      </c>
      <c r="B8" s="18"/>
      <c r="C8" s="18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5">
      <c r="A9" s="8">
        <v>45110</v>
      </c>
      <c r="B9" s="31" t="s">
        <v>12</v>
      </c>
      <c r="C9" s="35" t="s">
        <v>20</v>
      </c>
      <c r="D9" s="36">
        <v>60</v>
      </c>
      <c r="E9" s="3" t="str">
        <f>"COSME ORITZ-EMALSA 12/4 A 12/6"</f>
        <v>COSME ORITZ-EMALSA 12/4 A 12/6</v>
      </c>
      <c r="F9" s="2">
        <v>521745</v>
      </c>
      <c r="G9" s="7">
        <v>14.36</v>
      </c>
      <c r="H9" s="7">
        <v>14.36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5">
      <c r="A10" s="8">
        <v>45110</v>
      </c>
      <c r="B10" s="31" t="s">
        <v>39</v>
      </c>
      <c r="C10" s="35" t="s">
        <v>41</v>
      </c>
      <c r="D10" s="36">
        <v>1</v>
      </c>
      <c r="E10" s="3" t="str">
        <f>"MARIA JOSE PARRILLA - FOTOGRAF"</f>
        <v>MARIA JOSE PARRILLA - FOTOGRAF</v>
      </c>
      <c r="F10" s="2">
        <v>611</v>
      </c>
      <c r="G10" s="7">
        <v>55.2</v>
      </c>
      <c r="H10" s="7">
        <v>55.2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5">
      <c r="A11" s="8">
        <v>45110</v>
      </c>
      <c r="B11" s="31" t="s">
        <v>39</v>
      </c>
      <c r="C11" s="35" t="s">
        <v>41</v>
      </c>
      <c r="D11" s="36">
        <v>1</v>
      </c>
      <c r="E11" s="3" t="str">
        <f>"MARIA JOSE PARRILLA - FOTOGRAF"</f>
        <v>MARIA JOSE PARRILLA - FOTOGRAF</v>
      </c>
      <c r="F11" s="2">
        <v>610</v>
      </c>
      <c r="G11" s="7">
        <v>73.599999999999994</v>
      </c>
      <c r="H11" s="7">
        <v>73.599999999999994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5">
      <c r="A12" s="8">
        <v>45110</v>
      </c>
      <c r="B12" s="31" t="s">
        <v>11</v>
      </c>
      <c r="C12" s="35" t="s">
        <v>21</v>
      </c>
      <c r="D12" s="36">
        <v>1</v>
      </c>
      <c r="E12" s="3" t="str">
        <f>"MARIA MAR NARANJO-FORMACION"</f>
        <v>MARIA MAR NARANJO-FORMACION</v>
      </c>
      <c r="F12" s="2">
        <v>37</v>
      </c>
      <c r="G12" s="7">
        <v>127.5</v>
      </c>
      <c r="H12" s="7">
        <v>127.5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5">
      <c r="A13" s="8">
        <v>45110</v>
      </c>
      <c r="B13" s="31" t="s">
        <v>19</v>
      </c>
      <c r="C13" s="35" t="s">
        <v>26</v>
      </c>
      <c r="D13" s="36">
        <v>1</v>
      </c>
      <c r="E13" s="3" t="str">
        <f>"ALCOIMA - SANITARIO"</f>
        <v>ALCOIMA - SANITARIO</v>
      </c>
      <c r="F13" s="2">
        <v>1118</v>
      </c>
      <c r="G13" s="7">
        <v>297.86</v>
      </c>
      <c r="H13" s="7">
        <v>297.86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5">
      <c r="A14" s="8">
        <v>45110</v>
      </c>
      <c r="B14" s="31" t="s">
        <v>19</v>
      </c>
      <c r="C14" s="35" t="s">
        <v>26</v>
      </c>
      <c r="D14" s="36">
        <v>1</v>
      </c>
      <c r="E14" s="3" t="str">
        <f>"ALCOIMA - SANITARIO MAITE MART"</f>
        <v>ALCOIMA - SANITARIO MAITE MART</v>
      </c>
      <c r="F14" s="2">
        <v>1120</v>
      </c>
      <c r="G14" s="7">
        <v>297.86</v>
      </c>
      <c r="H14" s="7">
        <v>297.86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5">
      <c r="A15" s="8">
        <v>45110</v>
      </c>
      <c r="B15" s="31" t="s">
        <v>39</v>
      </c>
      <c r="C15" s="35" t="s">
        <v>41</v>
      </c>
      <c r="D15" s="36">
        <v>1</v>
      </c>
      <c r="E15" s="3" t="str">
        <f>"PROMOC.SAPEROCO-PREGON CAMISET"</f>
        <v>PROMOC.SAPEROCO-PREGON CAMISET</v>
      </c>
      <c r="F15" s="2">
        <v>64</v>
      </c>
      <c r="G15" s="7">
        <v>333.31</v>
      </c>
      <c r="H15" s="7">
        <v>333.31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5">
      <c r="A16" s="8">
        <v>45110</v>
      </c>
      <c r="B16" s="31" t="s">
        <v>13</v>
      </c>
      <c r="C16" s="35" t="s">
        <v>27</v>
      </c>
      <c r="D16" s="36">
        <v>1</v>
      </c>
      <c r="E16" s="3" t="str">
        <f>"CARMEN JESUS RDGZ - MARESIA"</f>
        <v>CARMEN JESUS RDGZ - MARESIA</v>
      </c>
      <c r="F16" s="2">
        <v>6</v>
      </c>
      <c r="G16" s="7">
        <v>390.6</v>
      </c>
      <c r="H16" s="7">
        <v>390.6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5">
      <c r="A17" s="8">
        <v>45110</v>
      </c>
      <c r="B17" s="31" t="s">
        <v>19</v>
      </c>
      <c r="C17" s="35" t="s">
        <v>26</v>
      </c>
      <c r="D17" s="36">
        <v>1</v>
      </c>
      <c r="E17" s="3" t="str">
        <f>"ALCOIMA - SANITARIO SABANDEÑOS"</f>
        <v>ALCOIMA - SANITARIO SABANDEÑOS</v>
      </c>
      <c r="F17" s="2">
        <v>1119</v>
      </c>
      <c r="G17" s="7">
        <v>416.74</v>
      </c>
      <c r="H17" s="7">
        <v>416.74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5">
      <c r="A18" s="8">
        <v>45110</v>
      </c>
      <c r="B18" s="31" t="s">
        <v>39</v>
      </c>
      <c r="C18" s="35" t="s">
        <v>23</v>
      </c>
      <c r="D18" s="36">
        <v>1</v>
      </c>
      <c r="E18" s="3" t="str">
        <f>"CENPOL - SEG PATIOS"</f>
        <v>CENPOL - SEG PATIOS</v>
      </c>
      <c r="F18" s="2">
        <v>208</v>
      </c>
      <c r="G18" s="7">
        <v>738.85</v>
      </c>
      <c r="H18" s="7">
        <v>738.85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5">
      <c r="A19" s="8">
        <v>45110</v>
      </c>
      <c r="B19" s="31" t="s">
        <v>19</v>
      </c>
      <c r="C19" s="35" t="s">
        <v>26</v>
      </c>
      <c r="D19" s="36">
        <v>6</v>
      </c>
      <c r="E19" s="3" t="str">
        <f>"ALCOIMA - SANITARIOS PARQ. DOR"</f>
        <v>ALCOIMA - SANITARIOS PARQ. DOR</v>
      </c>
      <c r="F19" s="2">
        <v>1121</v>
      </c>
      <c r="G19" s="7">
        <v>951.68</v>
      </c>
      <c r="H19" s="7">
        <v>951.68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5">
      <c r="A20" s="8">
        <v>45110</v>
      </c>
      <c r="B20" s="31" t="s">
        <v>16</v>
      </c>
      <c r="C20" s="35" t="s">
        <v>26</v>
      </c>
      <c r="D20" s="36">
        <v>10</v>
      </c>
      <c r="E20" s="3" t="str">
        <f>"ALCOIMA - SANITARIO MAYO"</f>
        <v>ALCOIMA - SANITARIO MAYO</v>
      </c>
      <c r="F20" s="2">
        <v>1122</v>
      </c>
      <c r="G20" s="7">
        <v>1086.0999999999999</v>
      </c>
      <c r="H20" s="7">
        <v>1086.0999999999999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5">
      <c r="A21" s="8">
        <v>45110</v>
      </c>
      <c r="B21" s="31" t="s">
        <v>11</v>
      </c>
      <c r="C21" s="35" t="s">
        <v>47</v>
      </c>
      <c r="D21" s="36">
        <v>365</v>
      </c>
      <c r="E21" s="3" t="str">
        <f>"GENERALI SEGUROS-3535DMD"</f>
        <v>GENERALI SEGUROS-3535DMD</v>
      </c>
      <c r="F21" s="2">
        <v>3223822</v>
      </c>
      <c r="G21" s="7">
        <v>1147.28</v>
      </c>
      <c r="H21" s="7">
        <v>1147.28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5">
      <c r="A22" s="8">
        <v>45110</v>
      </c>
      <c r="B22" s="31" t="s">
        <v>12</v>
      </c>
      <c r="C22" s="35" t="s">
        <v>54</v>
      </c>
      <c r="D22" s="36">
        <v>90</v>
      </c>
      <c r="E22" s="3" t="str">
        <f>"OTIS MOBILITY-MTO.ASC.1/7-30/9"</f>
        <v>OTIS MOBILITY-MTO.ASC.1/7-30/9</v>
      </c>
      <c r="F22" s="2">
        <v>67475</v>
      </c>
      <c r="G22" s="7">
        <v>1247.1500000000001</v>
      </c>
      <c r="H22" s="7">
        <v>1247.1500000000001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5">
      <c r="A23" s="8">
        <v>45110</v>
      </c>
      <c r="B23" s="31" t="s">
        <v>11</v>
      </c>
      <c r="C23" s="35" t="s">
        <v>48</v>
      </c>
      <c r="D23" s="36">
        <v>30</v>
      </c>
      <c r="E23" s="3" t="str">
        <f>"AG CONS. Y ASESORES-JUNIO"</f>
        <v>AG CONS. Y ASESORES-JUNIO</v>
      </c>
      <c r="F23" s="2">
        <v>829</v>
      </c>
      <c r="G23" s="7">
        <v>1403.35</v>
      </c>
      <c r="H23" s="7">
        <v>1403.35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5">
      <c r="A24" s="8">
        <v>45110</v>
      </c>
      <c r="B24" s="31" t="s">
        <v>11</v>
      </c>
      <c r="C24" s="35" t="s">
        <v>21</v>
      </c>
      <c r="D24" s="36">
        <v>1</v>
      </c>
      <c r="E24" s="3" t="str">
        <f>"MARIA DEL MAR NARANJO - FORMAC"</f>
        <v>MARIA DEL MAR NARANJO - FORMAC</v>
      </c>
      <c r="F24" s="2">
        <v>38</v>
      </c>
      <c r="G24" s="7">
        <v>2233.8000000000002</v>
      </c>
      <c r="H24" s="7">
        <v>2233.8000000000002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5">
      <c r="A25" s="8">
        <v>45110</v>
      </c>
      <c r="B25" s="31" t="s">
        <v>11</v>
      </c>
      <c r="C25" s="35" t="s">
        <v>30</v>
      </c>
      <c r="D25" s="36">
        <v>30</v>
      </c>
      <c r="E25" s="3" t="str">
        <f>"DKV SEGUROS-JULIO"</f>
        <v>DKV SEGUROS-JULIO</v>
      </c>
      <c r="F25" s="2">
        <v>729668</v>
      </c>
      <c r="G25" s="7">
        <v>3762</v>
      </c>
      <c r="H25" s="7">
        <v>3762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5">
      <c r="A26" s="8">
        <v>45111</v>
      </c>
      <c r="B26" s="31" t="s">
        <v>18</v>
      </c>
      <c r="C26" s="35" t="s">
        <v>45</v>
      </c>
      <c r="D26" s="36">
        <v>1</v>
      </c>
      <c r="E26" s="3" t="str">
        <f>"CANARILIME - BOBINA SECAMANO"</f>
        <v>CANARILIME - BOBINA SECAMANO</v>
      </c>
      <c r="F26" s="2">
        <v>102</v>
      </c>
      <c r="G26" s="7">
        <v>49.94</v>
      </c>
      <c r="H26" s="7">
        <v>49.94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5">
      <c r="A27" s="8">
        <v>45111</v>
      </c>
      <c r="B27" s="31" t="s">
        <v>39</v>
      </c>
      <c r="C27" s="35" t="s">
        <v>23</v>
      </c>
      <c r="D27" s="36">
        <v>3</v>
      </c>
      <c r="E27" s="3" t="str">
        <f>"PROSEGUR - FUEGOS VIG"</f>
        <v>PROSEGUR - FUEGOS VIG</v>
      </c>
      <c r="F27" s="2">
        <v>24</v>
      </c>
      <c r="G27" s="7">
        <v>500.76</v>
      </c>
      <c r="H27" s="7">
        <v>500.76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5">
      <c r="A28" s="8">
        <v>45111</v>
      </c>
      <c r="B28" s="31" t="s">
        <v>12</v>
      </c>
      <c r="C28" s="35" t="s">
        <v>42</v>
      </c>
      <c r="D28" s="36">
        <v>1</v>
      </c>
      <c r="E28" s="3" t="str">
        <f>"GERARDO L. CUBAS - HIP HOP TRA"</f>
        <v>GERARDO L. CUBAS - HIP HOP TRA</v>
      </c>
      <c r="F28" s="2">
        <v>2340</v>
      </c>
      <c r="G28" s="7">
        <v>710.7</v>
      </c>
      <c r="H28" s="7">
        <v>710.7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5">
      <c r="A29" s="8">
        <v>45111</v>
      </c>
      <c r="B29" s="31" t="s">
        <v>39</v>
      </c>
      <c r="C29" s="35" t="s">
        <v>23</v>
      </c>
      <c r="D29" s="36">
        <v>3</v>
      </c>
      <c r="E29" s="3" t="str">
        <f>"PROSEGUR - FUEGO VIG. EXPLO"</f>
        <v>PROSEGUR - FUEGO VIG. EXPLO</v>
      </c>
      <c r="F29" s="2">
        <v>25</v>
      </c>
      <c r="G29" s="7">
        <v>749</v>
      </c>
      <c r="H29" s="7">
        <v>749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5">
      <c r="A30" s="8">
        <v>45112</v>
      </c>
      <c r="B30" s="31" t="s">
        <v>50</v>
      </c>
      <c r="C30" s="35" t="s">
        <v>53</v>
      </c>
      <c r="D30" s="36">
        <v>30</v>
      </c>
      <c r="E30" s="3" t="str">
        <f>"GOOGLE-JUNIO LPA FILM FESTIVAL"</f>
        <v>GOOGLE-JUNIO LPA FILM FESTIVAL</v>
      </c>
      <c r="F30" s="2">
        <v>336359</v>
      </c>
      <c r="G30" s="7">
        <v>67.599999999999994</v>
      </c>
      <c r="H30" s="7">
        <v>67.599999999999994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5">
      <c r="A31" s="8">
        <v>45112</v>
      </c>
      <c r="B31" s="31" t="s">
        <v>52</v>
      </c>
      <c r="C31" s="35" t="s">
        <v>66</v>
      </c>
      <c r="D31" s="36">
        <v>1</v>
      </c>
      <c r="E31" s="3" t="str">
        <f>"OSAKA GESTION-TRANSP.+ADUANAS"</f>
        <v>OSAKA GESTION-TRANSP.+ADUANAS</v>
      </c>
      <c r="F31" s="2">
        <v>9</v>
      </c>
      <c r="G31" s="7">
        <v>109.14</v>
      </c>
      <c r="H31" s="7">
        <v>109.14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5">
      <c r="A32" s="8">
        <v>45112</v>
      </c>
      <c r="B32" s="31" t="s">
        <v>39</v>
      </c>
      <c r="C32" s="35" t="s">
        <v>41</v>
      </c>
      <c r="D32" s="36">
        <v>1</v>
      </c>
      <c r="E32" s="3" t="str">
        <f>"YERAY R. GLEZ - FOTOGRAFIA"</f>
        <v>YERAY R. GLEZ - FOTOGRAFIA</v>
      </c>
      <c r="F32" s="2">
        <v>771</v>
      </c>
      <c r="G32" s="7">
        <v>224.7</v>
      </c>
      <c r="H32" s="7">
        <v>224.7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5">
      <c r="A33" s="8">
        <v>45112</v>
      </c>
      <c r="B33" s="31" t="s">
        <v>13</v>
      </c>
      <c r="C33" s="35" t="s">
        <v>24</v>
      </c>
      <c r="D33" s="36">
        <v>30</v>
      </c>
      <c r="E33" s="3" t="str">
        <f>"TRANSALINETAS LOG-JUNIO"</f>
        <v>TRANSALINETAS LOG-JUNIO</v>
      </c>
      <c r="F33" s="2">
        <v>2805</v>
      </c>
      <c r="G33" s="7">
        <v>387.59</v>
      </c>
      <c r="H33" s="7">
        <v>387.59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5">
      <c r="A34" s="8">
        <v>45112</v>
      </c>
      <c r="B34" s="31" t="s">
        <v>39</v>
      </c>
      <c r="C34" s="35" t="s">
        <v>26</v>
      </c>
      <c r="D34" s="36">
        <v>1</v>
      </c>
      <c r="E34" s="3" t="str">
        <f>"ELEVAC.ARCHIPIELAGO-PZ.MUSICA"</f>
        <v>ELEVAC.ARCHIPIELAGO-PZ.MUSICA</v>
      </c>
      <c r="F34" s="2">
        <v>3792</v>
      </c>
      <c r="G34" s="7">
        <v>547.85</v>
      </c>
      <c r="H34" s="7">
        <v>547.85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5">
      <c r="A35" s="8">
        <v>45112</v>
      </c>
      <c r="B35" s="31" t="s">
        <v>39</v>
      </c>
      <c r="C35" s="35" t="s">
        <v>26</v>
      </c>
      <c r="D35" s="36">
        <v>1</v>
      </c>
      <c r="E35" s="3" t="str">
        <f>"ELEVAC.ARCHIPIELAGO-PZ.MUSICA"</f>
        <v>ELEVAC.ARCHIPIELAGO-PZ.MUSICA</v>
      </c>
      <c r="F35" s="2">
        <v>3713</v>
      </c>
      <c r="G35" s="7">
        <v>799.96</v>
      </c>
      <c r="H35" s="7">
        <v>799.96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5">
      <c r="A36" s="8">
        <v>45112</v>
      </c>
      <c r="B36" s="31" t="s">
        <v>39</v>
      </c>
      <c r="C36" s="35" t="s">
        <v>28</v>
      </c>
      <c r="D36" s="36">
        <v>10</v>
      </c>
      <c r="E36" s="3" t="str">
        <f>"EROS RAMSES - SERV FOTOGRAFICO"</f>
        <v>EROS RAMSES - SERV FOTOGRAFICO</v>
      </c>
      <c r="F36" s="2">
        <v>49</v>
      </c>
      <c r="G36" s="7">
        <v>1120</v>
      </c>
      <c r="H36" s="7">
        <v>1120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5">
      <c r="A37" s="8">
        <v>45112</v>
      </c>
      <c r="B37" s="31" t="s">
        <v>39</v>
      </c>
      <c r="C37" s="35" t="s">
        <v>26</v>
      </c>
      <c r="D37" s="36">
        <v>3</v>
      </c>
      <c r="E37" s="3" t="str">
        <f>"DAMASI-NOCHE SAN JUAN"</f>
        <v>DAMASI-NOCHE SAN JUAN</v>
      </c>
      <c r="F37" s="2">
        <v>275</v>
      </c>
      <c r="G37" s="7">
        <v>1605</v>
      </c>
      <c r="H37" s="7">
        <v>1605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5">
      <c r="A38" s="8">
        <v>45112</v>
      </c>
      <c r="B38" s="31" t="s">
        <v>52</v>
      </c>
      <c r="C38" s="35" t="s">
        <v>41</v>
      </c>
      <c r="D38" s="36">
        <v>1</v>
      </c>
      <c r="E38" s="3" t="str">
        <f>"SERICAN - TOTEM TEMUDAS"</f>
        <v>SERICAN - TOTEM TEMUDAS</v>
      </c>
      <c r="F38" s="2">
        <v>38997</v>
      </c>
      <c r="G38" s="7">
        <v>2340.8000000000002</v>
      </c>
      <c r="H38" s="7">
        <v>2340.8000000000002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5">
      <c r="A39" s="8">
        <v>45112</v>
      </c>
      <c r="B39" s="31" t="s">
        <v>39</v>
      </c>
      <c r="C39" s="35" t="s">
        <v>28</v>
      </c>
      <c r="D39" s="36">
        <v>23</v>
      </c>
      <c r="E39" s="3" t="str">
        <f>"ENRIQUE CURB - SERV. FOTOGRAFI"</f>
        <v>ENRIQUE CURB - SERV. FOTOGRAFI</v>
      </c>
      <c r="F39" s="2">
        <v>36</v>
      </c>
      <c r="G39" s="7">
        <v>2447.1999999999998</v>
      </c>
      <c r="H39" s="7">
        <v>2447.1999999999998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5">
      <c r="A40" s="8">
        <v>45112</v>
      </c>
      <c r="B40" s="31" t="s">
        <v>49</v>
      </c>
      <c r="C40" s="35" t="s">
        <v>44</v>
      </c>
      <c r="D40" s="36">
        <v>1</v>
      </c>
      <c r="E40" s="3" t="str">
        <f>"MARIA ISABEL RUFINO - EMPODERA"</f>
        <v>MARIA ISABEL RUFINO - EMPODERA</v>
      </c>
      <c r="F40" s="2">
        <v>61</v>
      </c>
      <c r="G40" s="7">
        <v>2900</v>
      </c>
      <c r="H40" s="7">
        <v>2900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5">
      <c r="A41" s="8">
        <v>45112</v>
      </c>
      <c r="B41" s="31" t="s">
        <v>13</v>
      </c>
      <c r="C41" s="35" t="s">
        <v>23</v>
      </c>
      <c r="D41" s="36">
        <v>30</v>
      </c>
      <c r="E41" s="3" t="str">
        <f>"CENPOL - JUNIO JDLT"</f>
        <v>CENPOL - JUNIO JDLT</v>
      </c>
      <c r="F41" s="2">
        <v>228</v>
      </c>
      <c r="G41" s="7">
        <v>3590.92</v>
      </c>
      <c r="H41" s="7">
        <v>3590.92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5">
      <c r="A42" s="8">
        <v>45112</v>
      </c>
      <c r="B42" s="31" t="s">
        <v>39</v>
      </c>
      <c r="C42" s="35" t="s">
        <v>26</v>
      </c>
      <c r="D42" s="36">
        <v>1</v>
      </c>
      <c r="E42" s="3" t="str">
        <f>"ACUSTICANARIAS - DIA DE LA MUS"</f>
        <v>ACUSTICANARIAS - DIA DE LA MUS</v>
      </c>
      <c r="F42" s="2">
        <v>85</v>
      </c>
      <c r="G42" s="7">
        <v>3959</v>
      </c>
      <c r="H42" s="7">
        <v>3959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5">
      <c r="A43" s="8">
        <v>45112</v>
      </c>
      <c r="B43" s="31" t="s">
        <v>49</v>
      </c>
      <c r="C43" s="35" t="s">
        <v>44</v>
      </c>
      <c r="D43" s="36">
        <v>1</v>
      </c>
      <c r="E43" s="3" t="str">
        <f>"ACTURA  ART Y COM - IVAN QUINT"</f>
        <v>ACTURA  ART Y COM - IVAN QUINT</v>
      </c>
      <c r="F43" s="2">
        <v>4268</v>
      </c>
      <c r="G43" s="7">
        <v>4173</v>
      </c>
      <c r="H43" s="7">
        <v>4173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5">
      <c r="A44" s="8">
        <v>45112</v>
      </c>
      <c r="B44" s="31" t="s">
        <v>39</v>
      </c>
      <c r="C44" s="35" t="s">
        <v>44</v>
      </c>
      <c r="D44" s="36">
        <v>1</v>
      </c>
      <c r="E44" s="3" t="str">
        <f>"NESRA - MIS PRIMERAS 4 ESTACIO"</f>
        <v>NESRA - MIS PRIMERAS 4 ESTACIO</v>
      </c>
      <c r="F44" s="2">
        <v>4823</v>
      </c>
      <c r="G44" s="7">
        <v>4494</v>
      </c>
      <c r="H44" s="7">
        <v>4494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5">
      <c r="A45" s="8">
        <v>45112</v>
      </c>
      <c r="B45" s="31" t="s">
        <v>39</v>
      </c>
      <c r="C45" s="35" t="s">
        <v>44</v>
      </c>
      <c r="D45" s="36">
        <v>1</v>
      </c>
      <c r="E45" s="3" t="str">
        <f>"NESRA - LA DAME BLANCHE"</f>
        <v>NESRA - LA DAME BLANCHE</v>
      </c>
      <c r="F45" s="2">
        <v>4223</v>
      </c>
      <c r="G45" s="7">
        <v>13910</v>
      </c>
      <c r="H45" s="7">
        <v>13910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5">
      <c r="A46" s="8">
        <v>45112</v>
      </c>
      <c r="B46" s="31" t="s">
        <v>39</v>
      </c>
      <c r="C46" s="35" t="s">
        <v>44</v>
      </c>
      <c r="D46" s="36">
        <v>1</v>
      </c>
      <c r="E46" s="3" t="str">
        <f>"JUAN MIGUEL SALAN - THE HACKER"</f>
        <v>JUAN MIGUEL SALAN - THE HACKER</v>
      </c>
      <c r="F46" s="2">
        <v>14</v>
      </c>
      <c r="G46" s="7">
        <v>14788.79</v>
      </c>
      <c r="H46" s="7">
        <v>14788.79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5">
      <c r="A47" s="8">
        <v>45113</v>
      </c>
      <c r="B47" s="31" t="s">
        <v>39</v>
      </c>
      <c r="C47" s="35" t="s">
        <v>40</v>
      </c>
      <c r="D47" s="36">
        <v>12</v>
      </c>
      <c r="E47" s="3" t="str">
        <f>"TAQ CANARIA COM/AZAF JUN/JULIO"</f>
        <v>TAQ CANARIA COM/AZAF JUN/JULIO</v>
      </c>
      <c r="F47" s="2">
        <v>230050</v>
      </c>
      <c r="G47" s="7">
        <v>292.33999999999997</v>
      </c>
      <c r="H47" s="7">
        <v>292.33999999999997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5">
      <c r="A48" s="8">
        <v>45113</v>
      </c>
      <c r="B48" s="31" t="s">
        <v>12</v>
      </c>
      <c r="C48" s="35" t="s">
        <v>28</v>
      </c>
      <c r="D48" s="36">
        <v>7</v>
      </c>
      <c r="E48" s="3" t="str">
        <f>"EROS RAMSES - SERV. JULIO"</f>
        <v>EROS RAMSES - SERV. JULIO</v>
      </c>
      <c r="F48" s="2">
        <v>48</v>
      </c>
      <c r="G48" s="7">
        <v>920</v>
      </c>
      <c r="H48" s="7">
        <v>920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5">
      <c r="A49" s="8">
        <v>45113</v>
      </c>
      <c r="B49" s="31" t="s">
        <v>52</v>
      </c>
      <c r="C49" s="35" t="s">
        <v>41</v>
      </c>
      <c r="D49" s="36">
        <v>1</v>
      </c>
      <c r="E49" s="3" t="str">
        <f>"JUAN C. TAVIO - ADAPT. MUPIS"</f>
        <v>JUAN C. TAVIO - ADAPT. MUPIS</v>
      </c>
      <c r="F49" s="2">
        <v>14</v>
      </c>
      <c r="G49" s="7">
        <v>6274.4</v>
      </c>
      <c r="H49" s="7">
        <v>6274.4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5">
      <c r="A50" s="8">
        <v>45114</v>
      </c>
      <c r="B50" s="31" t="s">
        <v>11</v>
      </c>
      <c r="C50" s="35" t="s">
        <v>21</v>
      </c>
      <c r="D50" s="36">
        <v>1</v>
      </c>
      <c r="E50" s="3" t="str">
        <f>"ORION CONS-CURSO CARLOS VARGAS"</f>
        <v>ORION CONS-CURSO CARLOS VARGAS</v>
      </c>
      <c r="F50" s="2">
        <v>327</v>
      </c>
      <c r="G50" s="7">
        <v>18.73</v>
      </c>
      <c r="H50" s="7">
        <v>18.73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5">
      <c r="A51" s="8">
        <v>45114</v>
      </c>
      <c r="B51" s="31" t="s">
        <v>11</v>
      </c>
      <c r="C51" s="35" t="s">
        <v>21</v>
      </c>
      <c r="D51" s="36">
        <v>1</v>
      </c>
      <c r="E51" s="3" t="str">
        <f>"RC MARES V-CURSO CARLOS VARGAS"</f>
        <v>RC MARES V-CURSO CARLOS VARGAS</v>
      </c>
      <c r="F51" s="2">
        <v>219</v>
      </c>
      <c r="G51" s="7">
        <v>175</v>
      </c>
      <c r="H51" s="7">
        <v>175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5">
      <c r="A52" s="8">
        <v>45114</v>
      </c>
      <c r="B52" s="31" t="s">
        <v>13</v>
      </c>
      <c r="C52" s="35" t="s">
        <v>21</v>
      </c>
      <c r="D52" s="36">
        <v>1</v>
      </c>
      <c r="E52" s="3" t="str">
        <f>"RC MARES V-CURSO TERESA SUAREZ"</f>
        <v>RC MARES V-CURSO TERESA SUAREZ</v>
      </c>
      <c r="F52" s="2">
        <v>220</v>
      </c>
      <c r="G52" s="7">
        <v>175</v>
      </c>
      <c r="H52" s="7">
        <v>175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5">
      <c r="A53" s="8">
        <v>45114</v>
      </c>
      <c r="B53" s="31" t="s">
        <v>52</v>
      </c>
      <c r="C53" s="35" t="s">
        <v>41</v>
      </c>
      <c r="D53" s="36">
        <v>1</v>
      </c>
      <c r="E53" s="3" t="str">
        <f>"GRAFICAS ABEMAK - BONOS COMIDA"</f>
        <v>GRAFICAS ABEMAK - BONOS COMIDA</v>
      </c>
      <c r="F53" s="2">
        <v>17980</v>
      </c>
      <c r="G53" s="7">
        <v>271.33</v>
      </c>
      <c r="H53" s="7">
        <v>271.33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5">
      <c r="A54" s="8">
        <v>45114</v>
      </c>
      <c r="B54" s="31" t="s">
        <v>13</v>
      </c>
      <c r="C54" s="35" t="s">
        <v>41</v>
      </c>
      <c r="D54" s="36">
        <v>1</v>
      </c>
      <c r="E54" s="3" t="str">
        <f>"REGLADE3 - ACTIVIDADES"</f>
        <v>REGLADE3 - ACTIVIDADES</v>
      </c>
      <c r="F54" s="2">
        <v>59</v>
      </c>
      <c r="G54" s="7">
        <v>663.4</v>
      </c>
      <c r="H54" s="7">
        <v>663.4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5">
      <c r="A55" s="8">
        <v>45114</v>
      </c>
      <c r="B55" s="31" t="s">
        <v>13</v>
      </c>
      <c r="C55" s="35" t="s">
        <v>41</v>
      </c>
      <c r="D55" s="36">
        <v>1</v>
      </c>
      <c r="E55" s="3" t="str">
        <f>"REGLADE3 - OLA DE LETRAS"</f>
        <v>REGLADE3 - OLA DE LETRAS</v>
      </c>
      <c r="F55" s="2">
        <v>58</v>
      </c>
      <c r="G55" s="7">
        <v>866.7</v>
      </c>
      <c r="H55" s="7">
        <v>866.7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5">
      <c r="A56" s="8">
        <v>45114</v>
      </c>
      <c r="B56" s="31" t="s">
        <v>49</v>
      </c>
      <c r="C56" s="35" t="s">
        <v>44</v>
      </c>
      <c r="D56" s="36">
        <v>1</v>
      </c>
      <c r="E56" s="3" t="str">
        <f>"LUIS MONZON-PAYASO CHINCHETA"</f>
        <v>LUIS MONZON-PAYASO CHINCHETA</v>
      </c>
      <c r="F56" s="2">
        <v>564</v>
      </c>
      <c r="G56" s="7">
        <v>1380</v>
      </c>
      <c r="H56" s="7">
        <v>1380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5">
      <c r="A57" s="8">
        <v>45114</v>
      </c>
      <c r="B57" s="31" t="s">
        <v>52</v>
      </c>
      <c r="C57" s="35" t="s">
        <v>42</v>
      </c>
      <c r="D57" s="36">
        <v>1</v>
      </c>
      <c r="E57" s="3" t="str">
        <f>"COMP.TRASMED-MATERIAL COMPAÑIA"</f>
        <v>COMP.TRASMED-MATERIAL COMPAÑIA</v>
      </c>
      <c r="F57" s="2">
        <v>55</v>
      </c>
      <c r="G57" s="7">
        <v>1813.61</v>
      </c>
      <c r="H57" s="7">
        <v>1813.61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5">
      <c r="A58" s="8">
        <v>45114</v>
      </c>
      <c r="B58" s="31" t="s">
        <v>16</v>
      </c>
      <c r="C58" s="35" t="s">
        <v>26</v>
      </c>
      <c r="D58" s="36">
        <v>1</v>
      </c>
      <c r="E58" s="3" t="str">
        <f>"DISC.MOVILES-CICLO ORILLAS"</f>
        <v>DISC.MOVILES-CICLO ORILLAS</v>
      </c>
      <c r="F58" s="2">
        <v>103</v>
      </c>
      <c r="G58" s="7">
        <v>4108.8</v>
      </c>
      <c r="H58" s="7">
        <v>4108.8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5">
      <c r="A59" s="8">
        <v>45114</v>
      </c>
      <c r="B59" s="31" t="s">
        <v>16</v>
      </c>
      <c r="C59" s="35" t="s">
        <v>26</v>
      </c>
      <c r="D59" s="36">
        <v>1</v>
      </c>
      <c r="E59" s="3" t="str">
        <f>"DISC.MOVILES-CICLO ORILLAS"</f>
        <v>DISC.MOVILES-CICLO ORILLAS</v>
      </c>
      <c r="F59" s="2">
        <v>101</v>
      </c>
      <c r="G59" s="7">
        <v>4504.7</v>
      </c>
      <c r="H59" s="7">
        <v>4504.7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5">
      <c r="A60" s="8">
        <v>45114</v>
      </c>
      <c r="B60" s="31" t="s">
        <v>16</v>
      </c>
      <c r="C60" s="35" t="s">
        <v>26</v>
      </c>
      <c r="D60" s="36">
        <v>1</v>
      </c>
      <c r="E60" s="3" t="str">
        <f>"LFSOUND-JAZZ FASHION"</f>
        <v>LFSOUND-JAZZ FASHION</v>
      </c>
      <c r="F60" s="2">
        <v>385</v>
      </c>
      <c r="G60" s="7">
        <v>4854.59</v>
      </c>
      <c r="H60" s="7">
        <v>4854.59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5">
      <c r="A61" s="8">
        <v>45114</v>
      </c>
      <c r="B61" s="31" t="s">
        <v>14</v>
      </c>
      <c r="C61" s="35" t="s">
        <v>26</v>
      </c>
      <c r="D61" s="36">
        <v>1</v>
      </c>
      <c r="E61" s="3" t="str">
        <f>"DISC.MOVILES-ZARZUELA"</f>
        <v>DISC.MOVILES-ZARZUELA</v>
      </c>
      <c r="F61" s="2">
        <v>102</v>
      </c>
      <c r="G61" s="7">
        <v>5552.23</v>
      </c>
      <c r="H61" s="7">
        <v>5552.23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5">
      <c r="A62" s="8">
        <v>45114</v>
      </c>
      <c r="B62" s="31" t="s">
        <v>39</v>
      </c>
      <c r="C62" s="35" t="s">
        <v>26</v>
      </c>
      <c r="D62" s="36">
        <v>1</v>
      </c>
      <c r="E62" s="3" t="str">
        <f>"SHOW BUSINESS-CONC.SOLSTICIO"</f>
        <v>SHOW BUSINESS-CONC.SOLSTICIO</v>
      </c>
      <c r="F62" s="2">
        <v>57</v>
      </c>
      <c r="G62" s="7">
        <v>5938.5</v>
      </c>
      <c r="H62" s="7">
        <v>5938.5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5">
      <c r="A63" s="8">
        <v>45114</v>
      </c>
      <c r="B63" s="31" t="s">
        <v>39</v>
      </c>
      <c r="C63" s="35" t="s">
        <v>26</v>
      </c>
      <c r="D63" s="36">
        <v>1</v>
      </c>
      <c r="E63" s="3" t="str">
        <f>"LFSOUND-CONCIERTO DEF CON DOS"</f>
        <v>LFSOUND-CONCIERTO DEF CON DOS</v>
      </c>
      <c r="F63" s="2">
        <v>383</v>
      </c>
      <c r="G63" s="7">
        <v>6638.82</v>
      </c>
      <c r="H63" s="7">
        <v>6638.82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5">
      <c r="A64" s="8">
        <v>45114</v>
      </c>
      <c r="B64" s="31" t="s">
        <v>16</v>
      </c>
      <c r="C64" s="35" t="s">
        <v>26</v>
      </c>
      <c r="D64" s="36">
        <v>1</v>
      </c>
      <c r="E64" s="3" t="str">
        <f>"LFSOUND-ESTRENO MARIA CALLAS"</f>
        <v>LFSOUND-ESTRENO MARIA CALLAS</v>
      </c>
      <c r="F64" s="2">
        <v>384</v>
      </c>
      <c r="G64" s="7">
        <v>7941.54</v>
      </c>
      <c r="H64" s="7">
        <v>7941.54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5">
      <c r="A65" s="8">
        <v>45114</v>
      </c>
      <c r="B65" s="31" t="s">
        <v>39</v>
      </c>
      <c r="C65" s="35" t="s">
        <v>26</v>
      </c>
      <c r="D65" s="36">
        <v>15</v>
      </c>
      <c r="E65" s="3" t="str">
        <f>"KIMEDIA-PANTALLAS CONCIERTOS"</f>
        <v>KIMEDIA-PANTALLAS CONCIERTOS</v>
      </c>
      <c r="F65" s="2">
        <v>144</v>
      </c>
      <c r="G65" s="7">
        <v>8645.6</v>
      </c>
      <c r="H65" s="7">
        <v>8645.6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5">
      <c r="A66" s="8">
        <v>45114</v>
      </c>
      <c r="B66" s="31" t="s">
        <v>16</v>
      </c>
      <c r="C66" s="35" t="s">
        <v>26</v>
      </c>
      <c r="D66" s="36">
        <v>30</v>
      </c>
      <c r="E66" s="3" t="str">
        <f>"DISC.MOVILES-JUNIO EVENTOS"</f>
        <v>DISC.MOVILES-JUNIO EVENTOS</v>
      </c>
      <c r="F66" s="2">
        <v>100</v>
      </c>
      <c r="G66" s="7">
        <v>10165</v>
      </c>
      <c r="H66" s="7">
        <v>10165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5">
      <c r="A67" s="8">
        <v>45114</v>
      </c>
      <c r="B67" s="31" t="s">
        <v>39</v>
      </c>
      <c r="C67" s="35" t="s">
        <v>26</v>
      </c>
      <c r="D67" s="36">
        <v>1</v>
      </c>
      <c r="E67" s="3" t="str">
        <f>"LFSOUND-CONCIERTO HIRAI AFONSO"</f>
        <v>LFSOUND-CONCIERTO HIRAI AFONSO</v>
      </c>
      <c r="F67" s="2">
        <v>386</v>
      </c>
      <c r="G67" s="7">
        <v>12840</v>
      </c>
      <c r="H67" s="7">
        <v>12840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5">
      <c r="A68" s="8">
        <v>45117</v>
      </c>
      <c r="B68" s="31" t="s">
        <v>39</v>
      </c>
      <c r="C68" s="35" t="s">
        <v>25</v>
      </c>
      <c r="D68" s="36">
        <v>1</v>
      </c>
      <c r="E68" s="3" t="str">
        <f>"VIAJES INSULAR - PASEO NOCTURN"</f>
        <v>VIAJES INSULAR - PASEO NOCTURN</v>
      </c>
      <c r="F68" s="2">
        <v>10323</v>
      </c>
      <c r="G68" s="7">
        <v>42.58</v>
      </c>
      <c r="H68" s="7">
        <v>42.58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5">
      <c r="A69" s="8">
        <v>45117</v>
      </c>
      <c r="B69" s="31" t="s">
        <v>39</v>
      </c>
      <c r="C69" s="35" t="s">
        <v>29</v>
      </c>
      <c r="D69" s="36">
        <v>1</v>
      </c>
      <c r="E69" s="3" t="str">
        <f>"ENRIQUE RAPISARDA - PATIOS"</f>
        <v>ENRIQUE RAPISARDA - PATIOS</v>
      </c>
      <c r="F69" s="2">
        <v>1998</v>
      </c>
      <c r="G69" s="7">
        <v>214</v>
      </c>
      <c r="H69" s="7">
        <v>214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5">
      <c r="A70" s="8">
        <v>45117</v>
      </c>
      <c r="B70" s="31" t="s">
        <v>13</v>
      </c>
      <c r="C70" s="35" t="s">
        <v>27</v>
      </c>
      <c r="D70" s="36">
        <v>1</v>
      </c>
      <c r="E70" s="3" t="str">
        <f>"ANDREA FARAH - OLA DE LETRAS"</f>
        <v>ANDREA FARAH - OLA DE LETRAS</v>
      </c>
      <c r="F70" s="2">
        <v>4</v>
      </c>
      <c r="G70" s="7">
        <v>220.8</v>
      </c>
      <c r="H70" s="7">
        <v>220.8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5">
      <c r="A71" s="8">
        <v>45117</v>
      </c>
      <c r="B71" s="31" t="s">
        <v>15</v>
      </c>
      <c r="C71" s="35" t="s">
        <v>41</v>
      </c>
      <c r="D71" s="36">
        <v>1</v>
      </c>
      <c r="E71" s="3" t="str">
        <f>"JUAN C. TAVIO - DIS. 3 ALEGORI"</f>
        <v>JUAN C. TAVIO - DIS. 3 ALEGORI</v>
      </c>
      <c r="F71" s="2">
        <v>16</v>
      </c>
      <c r="G71" s="7">
        <v>300</v>
      </c>
      <c r="H71" s="7">
        <v>300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5">
      <c r="A72" s="8">
        <v>45117</v>
      </c>
      <c r="B72" s="31" t="s">
        <v>11</v>
      </c>
      <c r="C72" s="35" t="s">
        <v>56</v>
      </c>
      <c r="D72" s="36">
        <v>30</v>
      </c>
      <c r="E72" s="3" t="str">
        <f>"MORENO Y HENR - JUNIO GASOIL"</f>
        <v>MORENO Y HENR - JUNIO GASOIL</v>
      </c>
      <c r="F72" s="2">
        <v>509</v>
      </c>
      <c r="G72" s="7">
        <v>321.10000000000002</v>
      </c>
      <c r="H72" s="7">
        <v>321.10000000000002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5">
      <c r="A73" s="8">
        <v>45117</v>
      </c>
      <c r="B73" s="31" t="s">
        <v>12</v>
      </c>
      <c r="C73" s="35" t="s">
        <v>20</v>
      </c>
      <c r="D73" s="36">
        <v>30</v>
      </c>
      <c r="E73" s="3" t="str">
        <f>"COSME ORTIZ-JULIO ALQ.LOC,1ºMY"</f>
        <v>COSME ORTIZ-JULIO ALQ.LOC,1ºMY</v>
      </c>
      <c r="F73" s="2">
        <v>80</v>
      </c>
      <c r="G73" s="7">
        <v>5280</v>
      </c>
      <c r="H73" s="7">
        <v>5280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5">
      <c r="A74" s="8">
        <v>45118</v>
      </c>
      <c r="B74" s="31" t="s">
        <v>15</v>
      </c>
      <c r="C74" s="35" t="s">
        <v>23</v>
      </c>
      <c r="D74" s="36">
        <v>30</v>
      </c>
      <c r="E74" s="3" t="str">
        <f>"QUANTOR-JUNIO SERVICIOS"</f>
        <v>QUANTOR-JUNIO SERVICIOS</v>
      </c>
      <c r="F74" s="2">
        <v>414</v>
      </c>
      <c r="G74" s="7">
        <v>668.71</v>
      </c>
      <c r="H74" s="7">
        <v>668.71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5">
      <c r="A75" s="8">
        <v>45118</v>
      </c>
      <c r="B75" s="31" t="s">
        <v>16</v>
      </c>
      <c r="C75" s="35" t="s">
        <v>26</v>
      </c>
      <c r="D75" s="36">
        <v>6</v>
      </c>
      <c r="E75" s="3" t="str">
        <f>"ALCOIMA - SANITARIO"</f>
        <v>ALCOIMA - SANITARIO</v>
      </c>
      <c r="F75" s="2">
        <v>1160</v>
      </c>
      <c r="G75" s="7">
        <v>869.96</v>
      </c>
      <c r="H75" s="7">
        <v>869.96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5">
      <c r="A76" s="8">
        <v>45118</v>
      </c>
      <c r="B76" s="31" t="s">
        <v>19</v>
      </c>
      <c r="C76" s="35" t="s">
        <v>23</v>
      </c>
      <c r="D76" s="36">
        <v>15</v>
      </c>
      <c r="E76" s="3" t="str">
        <f>"POWER 7-MUSICANDO FEB/JUNIO"</f>
        <v>POWER 7-MUSICANDO FEB/JUNIO</v>
      </c>
      <c r="F76" s="2">
        <v>1000035</v>
      </c>
      <c r="G76" s="7">
        <v>890.78</v>
      </c>
      <c r="H76" s="7">
        <v>890.78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5">
      <c r="A77" s="8">
        <v>45118</v>
      </c>
      <c r="B77" s="31" t="s">
        <v>52</v>
      </c>
      <c r="C77" s="35" t="s">
        <v>26</v>
      </c>
      <c r="D77" s="36">
        <v>1</v>
      </c>
      <c r="E77" s="3" t="str">
        <f>"RGB - REAL. BASES TECNICAS"</f>
        <v>RGB - REAL. BASES TECNICAS</v>
      </c>
      <c r="F77" s="2">
        <v>475</v>
      </c>
      <c r="G77" s="7">
        <v>3210</v>
      </c>
      <c r="H77" s="7">
        <v>3210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5">
      <c r="A78" s="8">
        <v>45118</v>
      </c>
      <c r="B78" s="31" t="s">
        <v>52</v>
      </c>
      <c r="C78" s="35" t="s">
        <v>26</v>
      </c>
      <c r="D78" s="36">
        <v>90</v>
      </c>
      <c r="E78" s="3" t="str">
        <f>"RGB - JEF. TEC. MAZ ABRIL MAYO"</f>
        <v>RGB - JEF. TEC. MAZ ABRIL MAYO</v>
      </c>
      <c r="F78" s="2">
        <v>476</v>
      </c>
      <c r="G78" s="7">
        <v>3210</v>
      </c>
      <c r="H78" s="7">
        <v>3210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5">
      <c r="A79" s="8">
        <v>45119</v>
      </c>
      <c r="B79" s="31" t="s">
        <v>52</v>
      </c>
      <c r="C79" s="35" t="s">
        <v>41</v>
      </c>
      <c r="D79" s="36">
        <v>1</v>
      </c>
      <c r="E79" s="3" t="str">
        <f>"ADXY PUBLIC - GRAB DE OFF"</f>
        <v>ADXY PUBLIC - GRAB DE OFF</v>
      </c>
      <c r="F79" s="2">
        <v>7521</v>
      </c>
      <c r="G79" s="7">
        <v>96.3</v>
      </c>
      <c r="H79" s="7">
        <v>96.3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5">
      <c r="A80" s="8">
        <v>45119</v>
      </c>
      <c r="B80" s="31" t="s">
        <v>13</v>
      </c>
      <c r="C80" s="35" t="s">
        <v>27</v>
      </c>
      <c r="D80" s="36">
        <v>1</v>
      </c>
      <c r="E80" s="3" t="str">
        <f>"MARIA DEL LORETO SOCOR - OLA D"</f>
        <v>MARIA DEL LORETO SOCOR - OLA D</v>
      </c>
      <c r="F80" s="2">
        <v>5</v>
      </c>
      <c r="G80" s="7">
        <v>212.5</v>
      </c>
      <c r="H80" s="7">
        <v>212.5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5">
      <c r="A81" s="8">
        <v>45119</v>
      </c>
      <c r="B81" s="31" t="s">
        <v>17</v>
      </c>
      <c r="C81" s="35" t="s">
        <v>29</v>
      </c>
      <c r="D81" s="36">
        <v>7</v>
      </c>
      <c r="E81" s="3" t="str">
        <f>"RAQUEL SUARZ - CUPUL 19A25 JUN"</f>
        <v>RAQUEL SUARZ - CUPUL 19A25 JUN</v>
      </c>
      <c r="F81" s="2">
        <v>27</v>
      </c>
      <c r="G81" s="7">
        <v>1002.8</v>
      </c>
      <c r="H81" s="7">
        <v>1002.8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5">
      <c r="A82" s="8">
        <v>45119</v>
      </c>
      <c r="B82" s="31" t="s">
        <v>12</v>
      </c>
      <c r="C82" s="35" t="s">
        <v>23</v>
      </c>
      <c r="D82" s="36">
        <v>30</v>
      </c>
      <c r="E82" s="3" t="str">
        <f>"VISOR - JUNIO RONDAS"</f>
        <v>VISOR - JUNIO RONDAS</v>
      </c>
      <c r="F82" s="2">
        <v>748</v>
      </c>
      <c r="G82" s="7">
        <v>1117.57</v>
      </c>
      <c r="H82" s="7">
        <v>1117.57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5">
      <c r="A83" s="8">
        <v>45119</v>
      </c>
      <c r="B83" s="31" t="s">
        <v>15</v>
      </c>
      <c r="C83" s="35" t="s">
        <v>23</v>
      </c>
      <c r="D83" s="36">
        <v>30</v>
      </c>
      <c r="E83" s="3" t="str">
        <f>"VISOR - JUNIO RONDAS"</f>
        <v>VISOR - JUNIO RONDAS</v>
      </c>
      <c r="F83" s="2">
        <v>749</v>
      </c>
      <c r="G83" s="7">
        <v>1117.57</v>
      </c>
      <c r="H83" s="7">
        <v>1117.57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5">
      <c r="A84" s="8">
        <v>45119</v>
      </c>
      <c r="B84" s="31" t="s">
        <v>17</v>
      </c>
      <c r="C84" s="35" t="s">
        <v>29</v>
      </c>
      <c r="D84" s="36">
        <v>7</v>
      </c>
      <c r="E84" s="3" t="str">
        <f>"RAQUEL SUARZ - CUPUL 12AL18 JU"</f>
        <v>RAQUEL SUARZ - CUPUL 12AL18 JU</v>
      </c>
      <c r="F84" s="2">
        <v>25</v>
      </c>
      <c r="G84" s="7">
        <v>1260.4000000000001</v>
      </c>
      <c r="H84" s="7">
        <v>1260.4000000000001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5">
      <c r="A85" s="8">
        <v>45119</v>
      </c>
      <c r="B85" s="31" t="s">
        <v>17</v>
      </c>
      <c r="C85" s="35" t="s">
        <v>41</v>
      </c>
      <c r="D85" s="36">
        <v>1</v>
      </c>
      <c r="E85" s="3" t="str">
        <f>"YERAY R. GLEZ - CUPULA EXPOSIC"</f>
        <v>YERAY R. GLEZ - CUPULA EXPOSIC</v>
      </c>
      <c r="F85" s="2">
        <v>690</v>
      </c>
      <c r="G85" s="7">
        <v>1305.4000000000001</v>
      </c>
      <c r="H85" s="7">
        <v>1305.4000000000001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5">
      <c r="A86" s="8">
        <v>45119</v>
      </c>
      <c r="B86" s="31" t="s">
        <v>13</v>
      </c>
      <c r="C86" s="35" t="s">
        <v>27</v>
      </c>
      <c r="D86" s="36">
        <v>1</v>
      </c>
      <c r="E86" s="3" t="str">
        <f>"AMAYA BLANCO - CLUBES LECTURA"</f>
        <v>AMAYA BLANCO - CLUBES LECTURA</v>
      </c>
      <c r="F86" s="2">
        <v>4</v>
      </c>
      <c r="G86" s="7">
        <v>1334.5</v>
      </c>
      <c r="H86" s="7">
        <v>1334.5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5">
      <c r="A87" s="8">
        <v>45119</v>
      </c>
      <c r="B87" s="31" t="s">
        <v>17</v>
      </c>
      <c r="C87" s="35" t="s">
        <v>23</v>
      </c>
      <c r="D87" s="36">
        <v>30</v>
      </c>
      <c r="E87" s="3" t="str">
        <f>"POWER 7 - SEG CUPULA ENERO"</f>
        <v>POWER 7 - SEG CUPULA ENERO</v>
      </c>
      <c r="F87" s="2">
        <v>20</v>
      </c>
      <c r="G87" s="7">
        <v>1425.24</v>
      </c>
      <c r="H87" s="7">
        <v>1425.24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5">
      <c r="A88" s="8">
        <v>45119</v>
      </c>
      <c r="B88" s="31" t="s">
        <v>17</v>
      </c>
      <c r="C88" s="35" t="s">
        <v>29</v>
      </c>
      <c r="D88" s="36">
        <v>7</v>
      </c>
      <c r="E88" s="3" t="str">
        <f>"RAQUEL SUARZ - CUPULA 5A11 JUN"</f>
        <v>RAQUEL SUARZ - CUPULA 5A11 JUN</v>
      </c>
      <c r="F88" s="2">
        <v>23</v>
      </c>
      <c r="G88" s="7">
        <v>1545.6</v>
      </c>
      <c r="H88" s="7">
        <v>1545.6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5">
      <c r="A89" s="8">
        <v>45119</v>
      </c>
      <c r="B89" s="31" t="s">
        <v>16</v>
      </c>
      <c r="C89" s="35" t="s">
        <v>26</v>
      </c>
      <c r="D89" s="36">
        <v>30</v>
      </c>
      <c r="E89" s="3" t="str">
        <f>"FRANCISCO J.PEREZ-SERV.TECNICO"</f>
        <v>FRANCISCO J.PEREZ-SERV.TECNICO</v>
      </c>
      <c r="F89" s="2">
        <v>74</v>
      </c>
      <c r="G89" s="7">
        <v>1821.6</v>
      </c>
      <c r="H89" s="7">
        <v>1821.6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5">
      <c r="A90" s="8">
        <v>45119</v>
      </c>
      <c r="B90" s="31" t="s">
        <v>18</v>
      </c>
      <c r="C90" s="35" t="s">
        <v>26</v>
      </c>
      <c r="D90" s="36">
        <v>5</v>
      </c>
      <c r="E90" s="3" t="str">
        <f>"ACUSTICANARIAS - ACTUACIONES"</f>
        <v>ACUSTICANARIAS - ACTUACIONES</v>
      </c>
      <c r="F90" s="2">
        <v>89</v>
      </c>
      <c r="G90" s="7">
        <v>1968.8</v>
      </c>
      <c r="H90" s="7">
        <v>1968.8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5">
      <c r="A91" s="8">
        <v>45119</v>
      </c>
      <c r="B91" s="31" t="s">
        <v>17</v>
      </c>
      <c r="C91" s="35" t="s">
        <v>29</v>
      </c>
      <c r="D91" s="36">
        <v>1</v>
      </c>
      <c r="E91" s="3" t="str">
        <f>"RAQUEL SUAREZ - CUPULA YERAY R"</f>
        <v>RAQUEL SUAREZ - CUPULA YERAY R</v>
      </c>
      <c r="F91" s="2">
        <v>20</v>
      </c>
      <c r="G91" s="7">
        <v>2560</v>
      </c>
      <c r="H91" s="7">
        <v>2560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5">
      <c r="A92" s="8">
        <v>45119</v>
      </c>
      <c r="B92" s="31" t="s">
        <v>17</v>
      </c>
      <c r="C92" s="35" t="s">
        <v>29</v>
      </c>
      <c r="D92" s="36">
        <v>12</v>
      </c>
      <c r="E92" s="3" t="str">
        <f>"RAQUEL SUAREZ - CUPULA MAYO"</f>
        <v>RAQUEL SUAREZ - CUPULA MAYO</v>
      </c>
      <c r="F92" s="2">
        <v>21</v>
      </c>
      <c r="G92" s="7">
        <v>3210</v>
      </c>
      <c r="H92" s="7">
        <v>3210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5">
      <c r="A93" s="8">
        <v>45119</v>
      </c>
      <c r="B93" s="31" t="s">
        <v>15</v>
      </c>
      <c r="C93" s="35" t="s">
        <v>23</v>
      </c>
      <c r="D93" s="36">
        <v>30</v>
      </c>
      <c r="E93" s="3" t="str">
        <f>"VISOR - JUNIO VIGILANCIA"</f>
        <v>VISOR - JUNIO VIGILANCIA</v>
      </c>
      <c r="F93" s="2">
        <v>739</v>
      </c>
      <c r="G93" s="7">
        <v>3451.2</v>
      </c>
      <c r="H93" s="7">
        <v>3451.2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5">
      <c r="A94" s="8">
        <v>45119</v>
      </c>
      <c r="B94" s="31" t="s">
        <v>16</v>
      </c>
      <c r="C94" s="35" t="s">
        <v>26</v>
      </c>
      <c r="D94" s="36">
        <v>1</v>
      </c>
      <c r="E94" s="3" t="str">
        <f>"DISCOTEC.MOV-MILLER BAILA 11/6"</f>
        <v>DISCOTEC.MOV-MILLER BAILA 11/6</v>
      </c>
      <c r="F94" s="2">
        <v>104</v>
      </c>
      <c r="G94" s="7">
        <v>4670.0200000000004</v>
      </c>
      <c r="H94" s="7">
        <v>4670.0200000000004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5">
      <c r="A95" s="8">
        <v>45119</v>
      </c>
      <c r="B95" s="31" t="s">
        <v>39</v>
      </c>
      <c r="C95" s="35" t="s">
        <v>26</v>
      </c>
      <c r="D95" s="36">
        <v>1</v>
      </c>
      <c r="E95" s="3" t="str">
        <f>"DISCOTEC.MOV-CONCIERTO F.SOUL"</f>
        <v>DISCOTEC.MOV-CONCIERTO F.SOUL</v>
      </c>
      <c r="F95" s="2">
        <v>105</v>
      </c>
      <c r="G95" s="7">
        <v>4950.8900000000003</v>
      </c>
      <c r="H95" s="7">
        <v>4950.8900000000003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5">
      <c r="A96" s="8">
        <v>45119</v>
      </c>
      <c r="B96" s="31" t="s">
        <v>17</v>
      </c>
      <c r="C96" s="35" t="s">
        <v>44</v>
      </c>
      <c r="D96" s="36">
        <v>40</v>
      </c>
      <c r="E96" s="3" t="str">
        <f>"PROFETAS - TEATRO SERV. PROD"</f>
        <v>PROFETAS - TEATRO SERV. PROD</v>
      </c>
      <c r="F96" s="2">
        <v>7</v>
      </c>
      <c r="G96" s="7">
        <v>7499.99</v>
      </c>
      <c r="H96" s="7">
        <v>7499.99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5">
      <c r="A97" s="8">
        <v>45119</v>
      </c>
      <c r="B97" s="31" t="s">
        <v>13</v>
      </c>
      <c r="C97" s="35" t="s">
        <v>41</v>
      </c>
      <c r="D97" s="36">
        <v>1</v>
      </c>
      <c r="E97" s="3" t="str">
        <f>"YERAY R. GLEZ - JDLT"</f>
        <v>YERAY R. GLEZ - JDLT</v>
      </c>
      <c r="F97" s="2">
        <v>686</v>
      </c>
      <c r="G97" s="7">
        <v>8161.85</v>
      </c>
      <c r="H97" s="7">
        <v>8161.85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5">
      <c r="A98" s="8">
        <v>45119</v>
      </c>
      <c r="B98" s="31" t="s">
        <v>17</v>
      </c>
      <c r="C98" s="35" t="s">
        <v>26</v>
      </c>
      <c r="D98" s="36">
        <v>25</v>
      </c>
      <c r="E98" s="3" t="str">
        <f>"DISCOTEC.MOV-CUPULA JUNIO"</f>
        <v>DISCOTEC.MOV-CUPULA JUNIO</v>
      </c>
      <c r="F98" s="2">
        <v>106</v>
      </c>
      <c r="G98" s="7">
        <v>10100.799999999999</v>
      </c>
      <c r="H98" s="7">
        <v>10100.799999999999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5">
      <c r="A99" s="8">
        <v>45120</v>
      </c>
      <c r="B99" s="31" t="s">
        <v>13</v>
      </c>
      <c r="C99" s="35" t="s">
        <v>41</v>
      </c>
      <c r="D99" s="36">
        <v>1</v>
      </c>
      <c r="E99" s="3" t="str">
        <f>"GRAFICAS ABEMAK - MICRORELATOS"</f>
        <v>GRAFICAS ABEMAK - MICRORELATOS</v>
      </c>
      <c r="F99" s="2">
        <v>18009</v>
      </c>
      <c r="G99" s="7">
        <v>26.75</v>
      </c>
      <c r="H99" s="7">
        <v>26.75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5">
      <c r="A100" s="8">
        <v>45120</v>
      </c>
      <c r="B100" s="31" t="s">
        <v>52</v>
      </c>
      <c r="C100" s="35" t="s">
        <v>40</v>
      </c>
      <c r="D100" s="36">
        <v>25</v>
      </c>
      <c r="E100" s="3" t="str">
        <f>"TAQUILLA CANARIA - AZAF / COM"</f>
        <v>TAQUILLA CANARIA - AZAF / COM</v>
      </c>
      <c r="F100" s="2">
        <v>230052</v>
      </c>
      <c r="G100" s="7">
        <v>59.06</v>
      </c>
      <c r="H100" s="7">
        <v>59.06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5">
      <c r="A101" s="8">
        <v>45120</v>
      </c>
      <c r="B101" s="31" t="s">
        <v>39</v>
      </c>
      <c r="C101" s="35" t="s">
        <v>26</v>
      </c>
      <c r="D101" s="36">
        <v>1</v>
      </c>
      <c r="E101" s="3" t="str">
        <f>"PLAYA EVENTOS - PL MUSICA"</f>
        <v>PLAYA EVENTOS - PL MUSICA</v>
      </c>
      <c r="F101" s="2">
        <v>87</v>
      </c>
      <c r="G101" s="7">
        <v>802.5</v>
      </c>
      <c r="H101" s="7">
        <v>802.5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5">
      <c r="A102" s="8">
        <v>45120</v>
      </c>
      <c r="B102" s="31" t="s">
        <v>49</v>
      </c>
      <c r="C102" s="35" t="s">
        <v>26</v>
      </c>
      <c r="D102" s="36">
        <v>1</v>
      </c>
      <c r="E102" s="3" t="str">
        <f>"AUDIOVISUALES - MUESTRA DANZA"</f>
        <v>AUDIOVISUALES - MUESTRA DANZA</v>
      </c>
      <c r="F102" s="2">
        <v>39424</v>
      </c>
      <c r="G102" s="7">
        <v>938.78</v>
      </c>
      <c r="H102" s="7">
        <v>938.78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5">
      <c r="A103" s="8">
        <v>45120</v>
      </c>
      <c r="B103" s="31" t="s">
        <v>39</v>
      </c>
      <c r="C103" s="35" t="s">
        <v>26</v>
      </c>
      <c r="D103" s="36">
        <v>1</v>
      </c>
      <c r="E103" s="3" t="str">
        <f>"PLAYA EVENTOS - PL MUSICA"</f>
        <v>PLAYA EVENTOS - PL MUSICA</v>
      </c>
      <c r="F103" s="2">
        <v>88</v>
      </c>
      <c r="G103" s="7">
        <v>1958.1</v>
      </c>
      <c r="H103" s="7">
        <v>1958.1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5">
      <c r="A104" s="8">
        <v>45120</v>
      </c>
      <c r="B104" s="31" t="s">
        <v>12</v>
      </c>
      <c r="C104" s="35" t="s">
        <v>26</v>
      </c>
      <c r="D104" s="36">
        <v>1</v>
      </c>
      <c r="E104" s="3" t="str">
        <f>"GRUPOS INSL. ORION - GRUP ELEC"</f>
        <v>GRUPOS INSL. ORION - GRUP ELEC</v>
      </c>
      <c r="F104" s="2">
        <v>118</v>
      </c>
      <c r="G104" s="7">
        <v>2530.04</v>
      </c>
      <c r="H104" s="7">
        <v>2530.04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5">
      <c r="A105" s="8">
        <v>45120</v>
      </c>
      <c r="B105" s="31" t="s">
        <v>12</v>
      </c>
      <c r="C105" s="35" t="s">
        <v>26</v>
      </c>
      <c r="D105" s="36">
        <v>1</v>
      </c>
      <c r="E105" s="3" t="str">
        <f>"AUDIOVISUALES - ACROSS HIP HOP"</f>
        <v>AUDIOVISUALES - ACROSS HIP HOP</v>
      </c>
      <c r="F105" s="2">
        <v>39435</v>
      </c>
      <c r="G105" s="7">
        <v>12000</v>
      </c>
      <c r="H105" s="7">
        <v>12000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5">
      <c r="A106" s="8">
        <v>45121</v>
      </c>
      <c r="B106" s="31" t="s">
        <v>14</v>
      </c>
      <c r="C106" s="35" t="s">
        <v>67</v>
      </c>
      <c r="D106" s="36">
        <v>1</v>
      </c>
      <c r="E106" s="3" t="str">
        <f>"CRUZ ROJA - SERAFIN ZUBIRI"</f>
        <v>CRUZ ROJA - SERAFIN ZUBIRI</v>
      </c>
      <c r="F106" s="2">
        <v>14</v>
      </c>
      <c r="G106" s="7">
        <v>60.91</v>
      </c>
      <c r="H106" s="7">
        <v>60.91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5">
      <c r="A107" s="8">
        <v>45121</v>
      </c>
      <c r="B107" s="31" t="s">
        <v>12</v>
      </c>
      <c r="C107" s="35" t="s">
        <v>67</v>
      </c>
      <c r="D107" s="36">
        <v>3</v>
      </c>
      <c r="E107" s="3" t="str">
        <f>"CRUZ ROJA - MUJERES CON NARICE"</f>
        <v>CRUZ ROJA - MUJERES CON NARICE</v>
      </c>
      <c r="F107" s="2">
        <v>16</v>
      </c>
      <c r="G107" s="7">
        <v>213.19</v>
      </c>
      <c r="H107" s="7">
        <v>213.19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5">
      <c r="A108" s="8">
        <v>45121</v>
      </c>
      <c r="B108" s="31" t="s">
        <v>13</v>
      </c>
      <c r="C108" s="35" t="s">
        <v>57</v>
      </c>
      <c r="D108" s="36">
        <v>1</v>
      </c>
      <c r="E108" s="3" t="str">
        <f>"OLIVER GLEZ-OFFICE EMPRESAS"</f>
        <v>OLIVER GLEZ-OFFICE EMPRESAS</v>
      </c>
      <c r="F108" s="2">
        <v>109</v>
      </c>
      <c r="G108" s="7">
        <v>296.39</v>
      </c>
      <c r="H108" s="7">
        <v>296.39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5">
      <c r="A109" s="8">
        <v>45121</v>
      </c>
      <c r="B109" s="31" t="s">
        <v>12</v>
      </c>
      <c r="C109" s="35" t="s">
        <v>68</v>
      </c>
      <c r="D109" s="36">
        <v>30</v>
      </c>
      <c r="E109" s="3" t="str">
        <f>"OLIVER GLEZ-JUNIO MTO. C. LUZ"</f>
        <v>OLIVER GLEZ-JUNIO MTO. C. LUZ</v>
      </c>
      <c r="F109" s="2">
        <v>107</v>
      </c>
      <c r="G109" s="7">
        <v>410.16</v>
      </c>
      <c r="H109" s="7">
        <v>410.16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5">
      <c r="A110" s="8">
        <v>45121</v>
      </c>
      <c r="B110" s="31" t="s">
        <v>12</v>
      </c>
      <c r="C110" s="35" t="s">
        <v>40</v>
      </c>
      <c r="D110" s="36">
        <v>6</v>
      </c>
      <c r="E110" s="3" t="str">
        <f>"SERV. CANARIOS - FERIA DEL LIB"</f>
        <v>SERV. CANARIOS - FERIA DEL LIB</v>
      </c>
      <c r="F110" s="2">
        <v>514</v>
      </c>
      <c r="G110" s="7">
        <v>529.01</v>
      </c>
      <c r="H110" s="7">
        <v>529.01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5">
      <c r="A111" s="8">
        <v>45121</v>
      </c>
      <c r="B111" s="31" t="s">
        <v>11</v>
      </c>
      <c r="C111" s="35" t="s">
        <v>57</v>
      </c>
      <c r="D111" s="36">
        <v>1</v>
      </c>
      <c r="E111" s="3" t="str">
        <f>"OLIVER GLEZ-OFFICE EMPRESAS"</f>
        <v>OLIVER GLEZ-OFFICE EMPRESAS</v>
      </c>
      <c r="F111" s="2">
        <v>111</v>
      </c>
      <c r="G111" s="7">
        <v>592.78</v>
      </c>
      <c r="H111" s="7">
        <v>592.78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5">
      <c r="A112" s="8">
        <v>45121</v>
      </c>
      <c r="B112" s="31" t="s">
        <v>11</v>
      </c>
      <c r="C112" s="35" t="s">
        <v>57</v>
      </c>
      <c r="D112" s="36">
        <v>30</v>
      </c>
      <c r="E112" s="3" t="str">
        <f>"OLIVER GLEZ-JUNIO MATERIAL"</f>
        <v>OLIVER GLEZ-JUNIO MATERIAL</v>
      </c>
      <c r="F112" s="2">
        <v>108</v>
      </c>
      <c r="G112" s="7">
        <v>742.58</v>
      </c>
      <c r="H112" s="7">
        <v>742.58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5">
      <c r="A113" s="8">
        <v>45121</v>
      </c>
      <c r="B113" s="31" t="s">
        <v>11</v>
      </c>
      <c r="C113" s="35" t="s">
        <v>68</v>
      </c>
      <c r="D113" s="36">
        <v>30</v>
      </c>
      <c r="E113" s="3" t="str">
        <f>"OLIVER GLEZ-JUNIO MANTENIMIENT"</f>
        <v>OLIVER GLEZ-JUNIO MANTENIMIENT</v>
      </c>
      <c r="F113" s="2">
        <v>105</v>
      </c>
      <c r="G113" s="7">
        <v>1070</v>
      </c>
      <c r="H113" s="7">
        <v>1070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5">
      <c r="A114" s="8">
        <v>45121</v>
      </c>
      <c r="B114" s="31" t="s">
        <v>13</v>
      </c>
      <c r="C114" s="35" t="s">
        <v>68</v>
      </c>
      <c r="D114" s="36">
        <v>30</v>
      </c>
      <c r="E114" s="3" t="str">
        <f>"OLIVER GLEZ-JUNIO BIBLIOTECAS"</f>
        <v>OLIVER GLEZ-JUNIO BIBLIOTECAS</v>
      </c>
      <c r="F114" s="2">
        <v>106</v>
      </c>
      <c r="G114" s="7">
        <v>1391</v>
      </c>
      <c r="H114" s="7">
        <v>1391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5">
      <c r="A115" s="8">
        <v>45121</v>
      </c>
      <c r="B115" s="31" t="s">
        <v>13</v>
      </c>
      <c r="C115" s="35" t="s">
        <v>57</v>
      </c>
      <c r="D115" s="36">
        <v>1</v>
      </c>
      <c r="E115" s="3" t="str">
        <f>"OLIVER GLEZ-MONITOR LG HD"</f>
        <v>OLIVER GLEZ-MONITOR LG HD</v>
      </c>
      <c r="F115" s="2">
        <v>112</v>
      </c>
      <c r="G115" s="7">
        <v>2439.6</v>
      </c>
      <c r="H115" s="7">
        <v>2439.6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5">
      <c r="A116" s="8">
        <v>45124</v>
      </c>
      <c r="B116" s="31" t="s">
        <v>11</v>
      </c>
      <c r="C116" s="35" t="s">
        <v>55</v>
      </c>
      <c r="D116" s="36">
        <v>30</v>
      </c>
      <c r="E116" s="3" t="str">
        <f>"TELEF.MOVILES-JUNIO OTROS OPER"</f>
        <v>TELEF.MOVILES-JUNIO OTROS OPER</v>
      </c>
      <c r="F116" s="2">
        <v>358262</v>
      </c>
      <c r="G116" s="7">
        <v>5.0599999999999996</v>
      </c>
      <c r="H116" s="7">
        <v>5.0599999999999996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5">
      <c r="A117" s="8">
        <v>45124</v>
      </c>
      <c r="B117" s="31" t="s">
        <v>12</v>
      </c>
      <c r="C117" s="35" t="s">
        <v>22</v>
      </c>
      <c r="D117" s="36">
        <v>30</v>
      </c>
      <c r="E117" s="3" t="str">
        <f>"ENDESA XXI-JUN/JUL MOLINO MAG"</f>
        <v>ENDESA XXI-JUN/JUL MOLINO MAG</v>
      </c>
      <c r="F117" s="2">
        <v>13516</v>
      </c>
      <c r="G117" s="7">
        <v>55.32</v>
      </c>
      <c r="H117" s="7">
        <v>55.32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5">
      <c r="A118" s="8">
        <v>45124</v>
      </c>
      <c r="B118" s="31" t="s">
        <v>13</v>
      </c>
      <c r="C118" s="35" t="s">
        <v>27</v>
      </c>
      <c r="D118" s="36">
        <v>1</v>
      </c>
      <c r="E118" s="3" t="str">
        <f>"ACTURA-OLA LETRAS AIDA ARENCIB"</f>
        <v>ACTURA-OLA LETRAS AIDA ARENCIB</v>
      </c>
      <c r="F118" s="2">
        <v>6854</v>
      </c>
      <c r="G118" s="7">
        <v>80.25</v>
      </c>
      <c r="H118" s="7">
        <v>80.25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5">
      <c r="A119" s="8">
        <v>45124</v>
      </c>
      <c r="B119" s="31" t="s">
        <v>13</v>
      </c>
      <c r="C119" s="35" t="s">
        <v>27</v>
      </c>
      <c r="D119" s="36">
        <v>1</v>
      </c>
      <c r="E119" s="3" t="str">
        <f>"ACTURA-OLA DE LETRAS 15/7"</f>
        <v>ACTURA-OLA DE LETRAS 15/7</v>
      </c>
      <c r="F119" s="2">
        <v>6979</v>
      </c>
      <c r="G119" s="7">
        <v>101.65</v>
      </c>
      <c r="H119" s="7">
        <v>101.65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5">
      <c r="A120" s="8">
        <v>45124</v>
      </c>
      <c r="B120" s="31" t="s">
        <v>13</v>
      </c>
      <c r="C120" s="35" t="s">
        <v>27</v>
      </c>
      <c r="D120" s="36">
        <v>1</v>
      </c>
      <c r="E120" s="3" t="str">
        <f>"LAURA BOSA - OLA DE LETRAS"</f>
        <v>LAURA BOSA - OLA DE LETRAS</v>
      </c>
      <c r="F120" s="2">
        <v>14</v>
      </c>
      <c r="G120" s="7">
        <v>153</v>
      </c>
      <c r="H120" s="7">
        <v>153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5">
      <c r="A121" s="8">
        <v>45124</v>
      </c>
      <c r="B121" s="31" t="s">
        <v>52</v>
      </c>
      <c r="C121" s="35" t="s">
        <v>26</v>
      </c>
      <c r="D121" s="36">
        <v>1</v>
      </c>
      <c r="E121" s="3" t="str">
        <f>"AUDIOVISUALES - RP. QUEQULES"</f>
        <v>AUDIOVISUALES - RP. QUEQULES</v>
      </c>
      <c r="F121" s="2">
        <v>39391</v>
      </c>
      <c r="G121" s="7">
        <v>317.61</v>
      </c>
      <c r="H121" s="7">
        <v>317.61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5">
      <c r="A122" s="8">
        <v>45124</v>
      </c>
      <c r="B122" s="31" t="s">
        <v>17</v>
      </c>
      <c r="C122" s="35" t="s">
        <v>29</v>
      </c>
      <c r="D122" s="36">
        <v>6</v>
      </c>
      <c r="E122" s="3" t="str">
        <f>"RAQUEL SUAREZ-CUPULA"</f>
        <v>RAQUEL SUAREZ-CUPULA</v>
      </c>
      <c r="F122" s="2">
        <v>30</v>
      </c>
      <c r="G122" s="7">
        <v>1844.2</v>
      </c>
      <c r="H122" s="7">
        <v>1844.2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5">
      <c r="A123" s="8">
        <v>45124</v>
      </c>
      <c r="B123" s="31" t="s">
        <v>15</v>
      </c>
      <c r="C123" s="35" t="s">
        <v>26</v>
      </c>
      <c r="D123" s="36">
        <v>2</v>
      </c>
      <c r="E123" s="3" t="str">
        <f>"PLAYA EVENTOS - ALQ. CARPAS"</f>
        <v>PLAYA EVENTOS - ALQ. CARPAS</v>
      </c>
      <c r="F123" s="2">
        <v>48</v>
      </c>
      <c r="G123" s="7">
        <v>3092.3</v>
      </c>
      <c r="H123" s="7">
        <v>3092.3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5">
      <c r="A124" s="8">
        <v>45124</v>
      </c>
      <c r="B124" s="31" t="s">
        <v>52</v>
      </c>
      <c r="C124" s="35" t="s">
        <v>44</v>
      </c>
      <c r="D124" s="36">
        <v>1</v>
      </c>
      <c r="E124" s="3" t="str">
        <f>"VOLAIRE - LATAS"</f>
        <v>VOLAIRE - LATAS</v>
      </c>
      <c r="F124" s="2">
        <v>34</v>
      </c>
      <c r="G124" s="7">
        <v>6000</v>
      </c>
      <c r="H124" s="7">
        <v>6000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5">
      <c r="A125" s="8">
        <v>45124</v>
      </c>
      <c r="B125" s="31" t="s">
        <v>52</v>
      </c>
      <c r="C125" s="35" t="s">
        <v>44</v>
      </c>
      <c r="D125" s="36">
        <v>1</v>
      </c>
      <c r="E125" s="3" t="str">
        <f>"ARNAU VINOS - FULL HOUSE"</f>
        <v>ARNAU VINOS - FULL HOUSE</v>
      </c>
      <c r="F125" s="2">
        <v>33</v>
      </c>
      <c r="G125" s="7">
        <v>9300</v>
      </c>
      <c r="H125" s="7">
        <v>9300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5">
      <c r="A126" s="8">
        <v>45124</v>
      </c>
      <c r="B126" s="31" t="s">
        <v>15</v>
      </c>
      <c r="C126" s="35" t="s">
        <v>26</v>
      </c>
      <c r="D126" s="36">
        <v>1</v>
      </c>
      <c r="E126" s="3" t="str">
        <f>"PLAYA EVENTOS - CONEXIONES"</f>
        <v>PLAYA EVENTOS - CONEXIONES</v>
      </c>
      <c r="F126" s="2">
        <v>46</v>
      </c>
      <c r="G126" s="7">
        <v>9886.7999999999993</v>
      </c>
      <c r="H126" s="7">
        <v>9886.7999999999993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5">
      <c r="A127" s="8">
        <v>45124</v>
      </c>
      <c r="B127" s="31" t="s">
        <v>15</v>
      </c>
      <c r="C127" s="35" t="s">
        <v>26</v>
      </c>
      <c r="D127" s="36">
        <v>1</v>
      </c>
      <c r="E127" s="3" t="str">
        <f>"PLAYA EVENTOS - LUC EMERG. GRA"</f>
        <v>PLAYA EVENTOS - LUC EMERG. GRA</v>
      </c>
      <c r="F127" s="2">
        <v>45</v>
      </c>
      <c r="G127" s="7">
        <v>12754.4</v>
      </c>
      <c r="H127" s="7">
        <v>12754.4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5">
      <c r="A128" s="8">
        <v>45125</v>
      </c>
      <c r="B128" s="31" t="s">
        <v>18</v>
      </c>
      <c r="C128" s="35" t="s">
        <v>22</v>
      </c>
      <c r="D128" s="36">
        <v>30</v>
      </c>
      <c r="E128" s="3" t="str">
        <f>"ENDESA XXI-JUN/JUL.QUEGLES"</f>
        <v>ENDESA XXI-JUN/JUL.QUEGLES</v>
      </c>
      <c r="F128" s="2">
        <v>12466</v>
      </c>
      <c r="G128" s="7">
        <v>36.08</v>
      </c>
      <c r="H128" s="7">
        <v>36.08</v>
      </c>
      <c r="I128" s="30" t="s">
        <v>9</v>
      </c>
      <c r="J128" s="31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5">
      <c r="A129" s="8">
        <v>45125</v>
      </c>
      <c r="B129" s="31" t="s">
        <v>15</v>
      </c>
      <c r="C129" s="35" t="s">
        <v>26</v>
      </c>
      <c r="D129" s="36">
        <v>1</v>
      </c>
      <c r="E129" s="3" t="str">
        <f>"PLAYA EVENTOS - MONT CAM INFRA"</f>
        <v>PLAYA EVENTOS - MONT CAM INFRA</v>
      </c>
      <c r="F129" s="2">
        <v>90</v>
      </c>
      <c r="G129" s="7">
        <v>321</v>
      </c>
      <c r="H129" s="7">
        <v>321</v>
      </c>
      <c r="I129" s="30" t="s">
        <v>9</v>
      </c>
      <c r="J129" s="31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5">
      <c r="A130" s="8">
        <v>45125</v>
      </c>
      <c r="B130" s="31" t="s">
        <v>39</v>
      </c>
      <c r="C130" s="35" t="s">
        <v>28</v>
      </c>
      <c r="D130" s="36">
        <v>3</v>
      </c>
      <c r="E130" s="3" t="str">
        <f>"SABRINA CEBALLOS - SERV. FOTOG"</f>
        <v>SABRINA CEBALLOS - SERV. FOTOG</v>
      </c>
      <c r="F130" s="2">
        <v>335</v>
      </c>
      <c r="G130" s="7">
        <v>391</v>
      </c>
      <c r="H130" s="7">
        <v>391</v>
      </c>
      <c r="I130" s="30" t="s">
        <v>9</v>
      </c>
      <c r="J130" s="31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5">
      <c r="A131" s="8">
        <v>45125</v>
      </c>
      <c r="B131" s="31" t="s">
        <v>52</v>
      </c>
      <c r="C131" s="35" t="s">
        <v>44</v>
      </c>
      <c r="D131" s="36">
        <v>1</v>
      </c>
      <c r="E131" s="3" t="str">
        <f>"MEYLING BISOGNO - READY MADE"</f>
        <v>MEYLING BISOGNO - READY MADE</v>
      </c>
      <c r="F131" s="2">
        <v>6</v>
      </c>
      <c r="G131" s="7">
        <v>2805</v>
      </c>
      <c r="H131" s="7">
        <v>2805</v>
      </c>
      <c r="I131" s="30" t="s">
        <v>9</v>
      </c>
      <c r="J131" s="31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5">
      <c r="A132" s="8">
        <v>45125</v>
      </c>
      <c r="B132" s="31" t="s">
        <v>52</v>
      </c>
      <c r="C132" s="35" t="s">
        <v>44</v>
      </c>
      <c r="D132" s="36">
        <v>1</v>
      </c>
      <c r="E132" s="3" t="str">
        <f>"CESAR GARCIA - BAKTANA"</f>
        <v>CESAR GARCIA - BAKTANA</v>
      </c>
      <c r="F132" s="2">
        <v>28</v>
      </c>
      <c r="G132" s="7">
        <v>2830</v>
      </c>
      <c r="H132" s="7">
        <v>2830</v>
      </c>
      <c r="I132" s="30" t="s">
        <v>9</v>
      </c>
      <c r="J132" s="31">
        <v>1</v>
      </c>
    </row>
    <row r="133" spans="1:13" x14ac:dyDescent="0.25">
      <c r="A133" s="8">
        <v>45125</v>
      </c>
      <c r="B133" s="31" t="s">
        <v>52</v>
      </c>
      <c r="C133" s="35" t="s">
        <v>44</v>
      </c>
      <c r="D133" s="36">
        <v>1</v>
      </c>
      <c r="E133" s="3" t="str">
        <f>"BRAMANT TEATRE - UN SEGLO DE A"</f>
        <v>BRAMANT TEATRE - UN SEGLO DE A</v>
      </c>
      <c r="F133" s="2">
        <v>25</v>
      </c>
      <c r="G133" s="7">
        <v>8200</v>
      </c>
      <c r="H133" s="7">
        <v>8200</v>
      </c>
      <c r="I133" s="30" t="s">
        <v>9</v>
      </c>
      <c r="J133" s="31">
        <v>1</v>
      </c>
    </row>
    <row r="134" spans="1:13" x14ac:dyDescent="0.25">
      <c r="A134" s="8">
        <v>45125</v>
      </c>
      <c r="B134" s="31" t="s">
        <v>52</v>
      </c>
      <c r="C134" s="35" t="s">
        <v>44</v>
      </c>
      <c r="D134" s="36">
        <v>1</v>
      </c>
      <c r="E134" s="3" t="str">
        <f>"LE GEORGES BISTAKI - BAINANA"</f>
        <v>LE GEORGES BISTAKI - BAINANA</v>
      </c>
      <c r="F134" s="2">
        <v>13</v>
      </c>
      <c r="G134" s="7">
        <v>8366</v>
      </c>
      <c r="H134" s="7">
        <v>8366</v>
      </c>
      <c r="I134" s="30" t="s">
        <v>9</v>
      </c>
      <c r="J134" s="31">
        <v>1</v>
      </c>
    </row>
    <row r="135" spans="1:13" x14ac:dyDescent="0.25">
      <c r="A135" s="8">
        <v>45125</v>
      </c>
      <c r="B135" s="31" t="s">
        <v>52</v>
      </c>
      <c r="C135" s="35" t="s">
        <v>44</v>
      </c>
      <c r="D135" s="36">
        <v>1</v>
      </c>
      <c r="E135" s="3" t="str">
        <f>"OTRA DANZA - LA BANDA"</f>
        <v>OTRA DANZA - LA BANDA</v>
      </c>
      <c r="F135" s="2">
        <v>42</v>
      </c>
      <c r="G135" s="7">
        <v>8850</v>
      </c>
      <c r="H135" s="7">
        <v>8850</v>
      </c>
      <c r="I135" s="30" t="s">
        <v>9</v>
      </c>
      <c r="J135" s="31">
        <v>1</v>
      </c>
    </row>
    <row r="136" spans="1:13" x14ac:dyDescent="0.25">
      <c r="A136" s="8">
        <v>45125</v>
      </c>
      <c r="B136" s="31" t="s">
        <v>52</v>
      </c>
      <c r="C136" s="35" t="s">
        <v>44</v>
      </c>
      <c r="D136" s="36">
        <v>1</v>
      </c>
      <c r="E136" s="3" t="str">
        <f>"AERIAL ESPECT. - PICTORIK CIRC"</f>
        <v>AERIAL ESPECT. - PICTORIK CIRC</v>
      </c>
      <c r="F136" s="2">
        <v>19</v>
      </c>
      <c r="G136" s="7">
        <v>14050.31</v>
      </c>
      <c r="H136" s="7">
        <v>14050.31</v>
      </c>
      <c r="I136" s="30" t="s">
        <v>9</v>
      </c>
      <c r="J136" s="31">
        <v>1</v>
      </c>
    </row>
    <row r="137" spans="1:13" x14ac:dyDescent="0.25">
      <c r="A137" s="8">
        <v>45126</v>
      </c>
      <c r="B137" s="31" t="s">
        <v>11</v>
      </c>
      <c r="C137" s="35" t="s">
        <v>55</v>
      </c>
      <c r="D137" s="36">
        <v>30</v>
      </c>
      <c r="E137" s="3" t="str">
        <f t="shared" ref="E137:E172" si="0">"TELEFONICA-JUNIO FIJO"</f>
        <v>TELEFONICA-JUNIO FIJO</v>
      </c>
      <c r="F137" s="2">
        <v>761968</v>
      </c>
      <c r="G137" s="7">
        <v>15.79</v>
      </c>
      <c r="H137" s="7">
        <v>15.79</v>
      </c>
      <c r="I137" s="30" t="s">
        <v>9</v>
      </c>
      <c r="J137" s="31">
        <v>1</v>
      </c>
    </row>
    <row r="138" spans="1:13" x14ac:dyDescent="0.25">
      <c r="A138" s="8">
        <v>45126</v>
      </c>
      <c r="B138" s="31" t="s">
        <v>11</v>
      </c>
      <c r="C138" s="35" t="s">
        <v>55</v>
      </c>
      <c r="D138" s="36">
        <v>30</v>
      </c>
      <c r="E138" s="3" t="str">
        <f t="shared" si="0"/>
        <v>TELEFONICA-JUNIO FIJO</v>
      </c>
      <c r="F138" s="2">
        <v>762048</v>
      </c>
      <c r="G138" s="7">
        <v>19.170000000000002</v>
      </c>
      <c r="H138" s="7">
        <v>19.170000000000002</v>
      </c>
      <c r="I138" s="30" t="s">
        <v>9</v>
      </c>
      <c r="J138" s="31">
        <v>1</v>
      </c>
    </row>
    <row r="139" spans="1:13" x14ac:dyDescent="0.25">
      <c r="A139" s="8">
        <v>45126</v>
      </c>
      <c r="B139" s="31" t="s">
        <v>11</v>
      </c>
      <c r="C139" s="35" t="s">
        <v>55</v>
      </c>
      <c r="D139" s="36">
        <v>30</v>
      </c>
      <c r="E139" s="3" t="str">
        <f t="shared" si="0"/>
        <v>TELEFONICA-JUNIO FIJO</v>
      </c>
      <c r="F139" s="2">
        <v>762046</v>
      </c>
      <c r="G139" s="7">
        <v>23.34</v>
      </c>
      <c r="H139" s="7">
        <v>23.34</v>
      </c>
      <c r="I139" s="30" t="s">
        <v>9</v>
      </c>
      <c r="J139" s="31">
        <v>1</v>
      </c>
    </row>
    <row r="140" spans="1:13" x14ac:dyDescent="0.25">
      <c r="A140" s="8">
        <v>45126</v>
      </c>
      <c r="B140" s="31" t="s">
        <v>11</v>
      </c>
      <c r="C140" s="35" t="s">
        <v>55</v>
      </c>
      <c r="D140" s="36">
        <v>30</v>
      </c>
      <c r="E140" s="3" t="str">
        <f t="shared" si="0"/>
        <v>TELEFONICA-JUNIO FIJO</v>
      </c>
      <c r="F140" s="2">
        <v>761989</v>
      </c>
      <c r="G140" s="7">
        <v>40.04</v>
      </c>
      <c r="H140" s="7">
        <v>40.04</v>
      </c>
      <c r="I140" s="30" t="s">
        <v>9</v>
      </c>
      <c r="J140" s="31">
        <v>1</v>
      </c>
    </row>
    <row r="141" spans="1:13" x14ac:dyDescent="0.25">
      <c r="A141" s="8">
        <v>45126</v>
      </c>
      <c r="B141" s="31" t="s">
        <v>11</v>
      </c>
      <c r="C141" s="35" t="s">
        <v>55</v>
      </c>
      <c r="D141" s="36">
        <v>30</v>
      </c>
      <c r="E141" s="3" t="str">
        <f t="shared" si="0"/>
        <v>TELEFONICA-JUNIO FIJO</v>
      </c>
      <c r="F141" s="2">
        <v>761988</v>
      </c>
      <c r="G141" s="7">
        <v>40.04</v>
      </c>
      <c r="H141" s="7">
        <v>40.04</v>
      </c>
      <c r="I141" s="30" t="s">
        <v>9</v>
      </c>
      <c r="J141" s="31">
        <v>1</v>
      </c>
    </row>
    <row r="142" spans="1:13" x14ac:dyDescent="0.25">
      <c r="A142" s="8">
        <v>45126</v>
      </c>
      <c r="B142" s="31" t="s">
        <v>11</v>
      </c>
      <c r="C142" s="35" t="s">
        <v>55</v>
      </c>
      <c r="D142" s="36">
        <v>30</v>
      </c>
      <c r="E142" s="3" t="str">
        <f t="shared" si="0"/>
        <v>TELEFONICA-JUNIO FIJO</v>
      </c>
      <c r="F142" s="2">
        <v>761986</v>
      </c>
      <c r="G142" s="7">
        <v>40.04</v>
      </c>
      <c r="H142" s="7">
        <v>40.04</v>
      </c>
      <c r="I142" s="30" t="s">
        <v>9</v>
      </c>
      <c r="J142" s="31">
        <v>1</v>
      </c>
    </row>
    <row r="143" spans="1:13" x14ac:dyDescent="0.25">
      <c r="A143" s="8">
        <v>45126</v>
      </c>
      <c r="B143" s="31" t="s">
        <v>11</v>
      </c>
      <c r="C143" s="35" t="s">
        <v>55</v>
      </c>
      <c r="D143" s="36">
        <v>30</v>
      </c>
      <c r="E143" s="3" t="str">
        <f t="shared" si="0"/>
        <v>TELEFONICA-JUNIO FIJO</v>
      </c>
      <c r="F143" s="2">
        <v>761985</v>
      </c>
      <c r="G143" s="7">
        <v>40.04</v>
      </c>
      <c r="H143" s="7">
        <v>40.04</v>
      </c>
      <c r="I143" s="30" t="s">
        <v>9</v>
      </c>
      <c r="J143" s="31">
        <v>1</v>
      </c>
    </row>
    <row r="144" spans="1:13" x14ac:dyDescent="0.25">
      <c r="A144" s="8">
        <v>45126</v>
      </c>
      <c r="B144" s="31" t="s">
        <v>11</v>
      </c>
      <c r="C144" s="35" t="s">
        <v>55</v>
      </c>
      <c r="D144" s="36">
        <v>30</v>
      </c>
      <c r="E144" s="3" t="str">
        <f t="shared" si="0"/>
        <v>TELEFONICA-JUNIO FIJO</v>
      </c>
      <c r="F144" s="2">
        <v>761984</v>
      </c>
      <c r="G144" s="7">
        <v>40.04</v>
      </c>
      <c r="H144" s="7">
        <v>40.04</v>
      </c>
      <c r="I144" s="30" t="s">
        <v>9</v>
      </c>
      <c r="J144" s="31">
        <v>1</v>
      </c>
    </row>
    <row r="145" spans="1:10" x14ac:dyDescent="0.25">
      <c r="A145" s="8">
        <v>45126</v>
      </c>
      <c r="B145" s="31" t="s">
        <v>11</v>
      </c>
      <c r="C145" s="35" t="s">
        <v>55</v>
      </c>
      <c r="D145" s="36">
        <v>30</v>
      </c>
      <c r="E145" s="3" t="str">
        <f t="shared" si="0"/>
        <v>TELEFONICA-JUNIO FIJO</v>
      </c>
      <c r="F145" s="2">
        <v>761990</v>
      </c>
      <c r="G145" s="7">
        <v>44.73</v>
      </c>
      <c r="H145" s="7">
        <v>44.73</v>
      </c>
      <c r="I145" s="30" t="s">
        <v>9</v>
      </c>
      <c r="J145" s="31">
        <v>1</v>
      </c>
    </row>
    <row r="146" spans="1:10" x14ac:dyDescent="0.25">
      <c r="A146" s="8">
        <v>45126</v>
      </c>
      <c r="B146" s="31" t="s">
        <v>11</v>
      </c>
      <c r="C146" s="35" t="s">
        <v>55</v>
      </c>
      <c r="D146" s="36">
        <v>30</v>
      </c>
      <c r="E146" s="3" t="str">
        <f t="shared" si="0"/>
        <v>TELEFONICA-JUNIO FIJO</v>
      </c>
      <c r="F146" s="2">
        <v>761960</v>
      </c>
      <c r="G146" s="7">
        <v>45.1</v>
      </c>
      <c r="H146" s="7">
        <v>45.1</v>
      </c>
      <c r="I146" s="30" t="s">
        <v>9</v>
      </c>
      <c r="J146" s="31">
        <v>1</v>
      </c>
    </row>
    <row r="147" spans="1:10" x14ac:dyDescent="0.25">
      <c r="A147" s="8">
        <v>45126</v>
      </c>
      <c r="B147" s="31" t="s">
        <v>11</v>
      </c>
      <c r="C147" s="35" t="s">
        <v>55</v>
      </c>
      <c r="D147" s="36">
        <v>30</v>
      </c>
      <c r="E147" s="3" t="str">
        <f t="shared" si="0"/>
        <v>TELEFONICA-JUNIO FIJO</v>
      </c>
      <c r="F147" s="2">
        <v>761967</v>
      </c>
      <c r="G147" s="7">
        <v>45.98</v>
      </c>
      <c r="H147" s="7">
        <v>45.98</v>
      </c>
      <c r="I147" s="30" t="s">
        <v>9</v>
      </c>
      <c r="J147" s="31">
        <v>1</v>
      </c>
    </row>
    <row r="148" spans="1:10" x14ac:dyDescent="0.25">
      <c r="A148" s="8">
        <v>45126</v>
      </c>
      <c r="B148" s="31" t="s">
        <v>11</v>
      </c>
      <c r="C148" s="35" t="s">
        <v>55</v>
      </c>
      <c r="D148" s="36">
        <v>30</v>
      </c>
      <c r="E148" s="3" t="str">
        <f t="shared" si="0"/>
        <v>TELEFONICA-JUNIO FIJO</v>
      </c>
      <c r="F148" s="2">
        <v>761977</v>
      </c>
      <c r="G148" s="7">
        <v>57.74</v>
      </c>
      <c r="H148" s="7">
        <v>57.74</v>
      </c>
      <c r="I148" s="30" t="s">
        <v>9</v>
      </c>
      <c r="J148" s="31">
        <v>1</v>
      </c>
    </row>
    <row r="149" spans="1:10" x14ac:dyDescent="0.25">
      <c r="A149" s="8">
        <v>45126</v>
      </c>
      <c r="B149" s="31" t="s">
        <v>11</v>
      </c>
      <c r="C149" s="35" t="s">
        <v>55</v>
      </c>
      <c r="D149" s="36">
        <v>30</v>
      </c>
      <c r="E149" s="3" t="str">
        <f t="shared" si="0"/>
        <v>TELEFONICA-JUNIO FIJO</v>
      </c>
      <c r="F149" s="2">
        <v>761976</v>
      </c>
      <c r="G149" s="7">
        <v>57.74</v>
      </c>
      <c r="H149" s="7">
        <v>57.74</v>
      </c>
      <c r="I149" s="30" t="s">
        <v>9</v>
      </c>
      <c r="J149" s="31">
        <v>1</v>
      </c>
    </row>
    <row r="150" spans="1:10" x14ac:dyDescent="0.25">
      <c r="A150" s="8">
        <v>45126</v>
      </c>
      <c r="B150" s="31" t="s">
        <v>11</v>
      </c>
      <c r="C150" s="35" t="s">
        <v>55</v>
      </c>
      <c r="D150" s="36">
        <v>30</v>
      </c>
      <c r="E150" s="3" t="str">
        <f t="shared" si="0"/>
        <v>TELEFONICA-JUNIO FIJO</v>
      </c>
      <c r="F150" s="2">
        <v>761975</v>
      </c>
      <c r="G150" s="7">
        <v>57.74</v>
      </c>
      <c r="H150" s="7">
        <v>57.74</v>
      </c>
      <c r="I150" s="30" t="s">
        <v>9</v>
      </c>
      <c r="J150" s="31">
        <v>1</v>
      </c>
    </row>
    <row r="151" spans="1:10" x14ac:dyDescent="0.25">
      <c r="A151" s="8">
        <v>45126</v>
      </c>
      <c r="B151" s="31" t="s">
        <v>11</v>
      </c>
      <c r="C151" s="35" t="s">
        <v>55</v>
      </c>
      <c r="D151" s="36">
        <v>30</v>
      </c>
      <c r="E151" s="3" t="str">
        <f t="shared" si="0"/>
        <v>TELEFONICA-JUNIO FIJO</v>
      </c>
      <c r="F151" s="2">
        <v>761974</v>
      </c>
      <c r="G151" s="7">
        <v>57.74</v>
      </c>
      <c r="H151" s="7">
        <v>57.74</v>
      </c>
      <c r="I151" s="30" t="s">
        <v>9</v>
      </c>
      <c r="J151" s="31">
        <v>1</v>
      </c>
    </row>
    <row r="152" spans="1:10" x14ac:dyDescent="0.25">
      <c r="A152" s="8">
        <v>45126</v>
      </c>
      <c r="B152" s="31" t="s">
        <v>11</v>
      </c>
      <c r="C152" s="35" t="s">
        <v>55</v>
      </c>
      <c r="D152" s="36">
        <v>30</v>
      </c>
      <c r="E152" s="3" t="str">
        <f t="shared" si="0"/>
        <v>TELEFONICA-JUNIO FIJO</v>
      </c>
      <c r="F152" s="2">
        <v>761983</v>
      </c>
      <c r="G152" s="7">
        <v>62.25</v>
      </c>
      <c r="H152" s="7">
        <v>62.25</v>
      </c>
      <c r="I152" s="30" t="s">
        <v>9</v>
      </c>
      <c r="J152" s="31">
        <v>1</v>
      </c>
    </row>
    <row r="153" spans="1:10" x14ac:dyDescent="0.25">
      <c r="A153" s="8">
        <v>45126</v>
      </c>
      <c r="B153" s="31" t="s">
        <v>11</v>
      </c>
      <c r="C153" s="35" t="s">
        <v>55</v>
      </c>
      <c r="D153" s="36">
        <v>30</v>
      </c>
      <c r="E153" s="3" t="str">
        <f t="shared" si="0"/>
        <v>TELEFONICA-JUNIO FIJO</v>
      </c>
      <c r="F153" s="2">
        <v>761972</v>
      </c>
      <c r="G153" s="7">
        <v>62.25</v>
      </c>
      <c r="H153" s="7">
        <v>62.25</v>
      </c>
      <c r="I153" s="30" t="s">
        <v>9</v>
      </c>
      <c r="J153" s="31">
        <v>1</v>
      </c>
    </row>
    <row r="154" spans="1:10" x14ac:dyDescent="0.25">
      <c r="A154" s="8">
        <v>45126</v>
      </c>
      <c r="B154" s="31" t="s">
        <v>11</v>
      </c>
      <c r="C154" s="35" t="s">
        <v>55</v>
      </c>
      <c r="D154" s="36">
        <v>30</v>
      </c>
      <c r="E154" s="3" t="str">
        <f t="shared" si="0"/>
        <v>TELEFONICA-JUNIO FIJO</v>
      </c>
      <c r="F154" s="2">
        <v>761981</v>
      </c>
      <c r="G154" s="7">
        <v>66.59</v>
      </c>
      <c r="H154" s="7">
        <v>66.59</v>
      </c>
      <c r="I154" s="30" t="s">
        <v>9</v>
      </c>
      <c r="J154" s="31">
        <v>1</v>
      </c>
    </row>
    <row r="155" spans="1:10" x14ac:dyDescent="0.25">
      <c r="A155" s="8">
        <v>45126</v>
      </c>
      <c r="B155" s="31" t="s">
        <v>11</v>
      </c>
      <c r="C155" s="35" t="s">
        <v>55</v>
      </c>
      <c r="D155" s="36">
        <v>30</v>
      </c>
      <c r="E155" s="3" t="str">
        <f t="shared" si="0"/>
        <v>TELEFONICA-JUNIO FIJO</v>
      </c>
      <c r="F155" s="2">
        <v>761978</v>
      </c>
      <c r="G155" s="7">
        <v>66.59</v>
      </c>
      <c r="H155" s="7">
        <v>66.59</v>
      </c>
      <c r="I155" s="30" t="s">
        <v>9</v>
      </c>
      <c r="J155" s="31">
        <v>1</v>
      </c>
    </row>
    <row r="156" spans="1:10" x14ac:dyDescent="0.25">
      <c r="A156" s="8">
        <v>45126</v>
      </c>
      <c r="B156" s="31" t="s">
        <v>11</v>
      </c>
      <c r="C156" s="35" t="s">
        <v>55</v>
      </c>
      <c r="D156" s="36">
        <v>30</v>
      </c>
      <c r="E156" s="3" t="str">
        <f t="shared" si="0"/>
        <v>TELEFONICA-JUNIO FIJO</v>
      </c>
      <c r="F156" s="2">
        <v>761973</v>
      </c>
      <c r="G156" s="7">
        <v>66.59</v>
      </c>
      <c r="H156" s="7">
        <v>66.59</v>
      </c>
      <c r="I156" s="30" t="s">
        <v>9</v>
      </c>
      <c r="J156" s="31">
        <v>1</v>
      </c>
    </row>
    <row r="157" spans="1:10" x14ac:dyDescent="0.25">
      <c r="A157" s="8">
        <v>45126</v>
      </c>
      <c r="B157" s="31" t="s">
        <v>11</v>
      </c>
      <c r="C157" s="35" t="s">
        <v>55</v>
      </c>
      <c r="D157" s="36">
        <v>30</v>
      </c>
      <c r="E157" s="3" t="str">
        <f t="shared" si="0"/>
        <v>TELEFONICA-JUNIO FIJO</v>
      </c>
      <c r="F157" s="2">
        <v>761969</v>
      </c>
      <c r="G157" s="7">
        <v>66.59</v>
      </c>
      <c r="H157" s="7">
        <v>66.59</v>
      </c>
      <c r="I157" s="30" t="s">
        <v>9</v>
      </c>
      <c r="J157" s="31">
        <v>1</v>
      </c>
    </row>
    <row r="158" spans="1:10" x14ac:dyDescent="0.25">
      <c r="A158" s="8">
        <v>45126</v>
      </c>
      <c r="B158" s="31" t="s">
        <v>11</v>
      </c>
      <c r="C158" s="35" t="s">
        <v>55</v>
      </c>
      <c r="D158" s="36">
        <v>30</v>
      </c>
      <c r="E158" s="3" t="str">
        <f t="shared" si="0"/>
        <v>TELEFONICA-JUNIO FIJO</v>
      </c>
      <c r="F158" s="2">
        <v>761982</v>
      </c>
      <c r="G158" s="7">
        <v>66.67</v>
      </c>
      <c r="H158" s="7">
        <v>66.67</v>
      </c>
      <c r="I158" s="30" t="s">
        <v>9</v>
      </c>
      <c r="J158" s="31">
        <v>1</v>
      </c>
    </row>
    <row r="159" spans="1:10" x14ac:dyDescent="0.25">
      <c r="A159" s="8">
        <v>45126</v>
      </c>
      <c r="B159" s="31" t="s">
        <v>11</v>
      </c>
      <c r="C159" s="35" t="s">
        <v>55</v>
      </c>
      <c r="D159" s="36">
        <v>30</v>
      </c>
      <c r="E159" s="3" t="str">
        <f t="shared" si="0"/>
        <v>TELEFONICA-JUNIO FIJO</v>
      </c>
      <c r="F159" s="2">
        <v>761979</v>
      </c>
      <c r="G159" s="7">
        <v>66.67</v>
      </c>
      <c r="H159" s="7">
        <v>66.67</v>
      </c>
      <c r="I159" s="30" t="s">
        <v>9</v>
      </c>
      <c r="J159" s="31">
        <v>1</v>
      </c>
    </row>
    <row r="160" spans="1:10" x14ac:dyDescent="0.25">
      <c r="A160" s="8">
        <v>45126</v>
      </c>
      <c r="B160" s="31" t="s">
        <v>11</v>
      </c>
      <c r="C160" s="35" t="s">
        <v>55</v>
      </c>
      <c r="D160" s="36">
        <v>30</v>
      </c>
      <c r="E160" s="3" t="str">
        <f t="shared" si="0"/>
        <v>TELEFONICA-JUNIO FIJO</v>
      </c>
      <c r="F160" s="2">
        <v>762045</v>
      </c>
      <c r="G160" s="7">
        <v>67.47</v>
      </c>
      <c r="H160" s="7">
        <v>67.47</v>
      </c>
      <c r="I160" s="30" t="s">
        <v>9</v>
      </c>
      <c r="J160" s="31">
        <v>1</v>
      </c>
    </row>
    <row r="161" spans="1:10" x14ac:dyDescent="0.25">
      <c r="A161" s="8">
        <v>45126</v>
      </c>
      <c r="B161" s="31" t="s">
        <v>11</v>
      </c>
      <c r="C161" s="35" t="s">
        <v>55</v>
      </c>
      <c r="D161" s="36">
        <v>30</v>
      </c>
      <c r="E161" s="3" t="str">
        <f t="shared" si="0"/>
        <v>TELEFONICA-JUNIO FIJO</v>
      </c>
      <c r="F161" s="2">
        <v>761971</v>
      </c>
      <c r="G161" s="7">
        <v>68.84</v>
      </c>
      <c r="H161" s="7">
        <v>68.84</v>
      </c>
      <c r="I161" s="30" t="s">
        <v>9</v>
      </c>
      <c r="J161" s="31">
        <v>1</v>
      </c>
    </row>
    <row r="162" spans="1:10" x14ac:dyDescent="0.25">
      <c r="A162" s="8">
        <v>45126</v>
      </c>
      <c r="B162" s="31" t="s">
        <v>11</v>
      </c>
      <c r="C162" s="35" t="s">
        <v>55</v>
      </c>
      <c r="D162" s="36">
        <v>30</v>
      </c>
      <c r="E162" s="3" t="str">
        <f t="shared" si="0"/>
        <v>TELEFONICA-JUNIO FIJO</v>
      </c>
      <c r="F162" s="2">
        <v>761980</v>
      </c>
      <c r="G162" s="7">
        <v>70.209999999999994</v>
      </c>
      <c r="H162" s="7">
        <v>70.209999999999994</v>
      </c>
      <c r="I162" s="30" t="s">
        <v>9</v>
      </c>
      <c r="J162" s="31">
        <v>1</v>
      </c>
    </row>
    <row r="163" spans="1:10" x14ac:dyDescent="0.25">
      <c r="A163" s="8">
        <v>45126</v>
      </c>
      <c r="B163" s="31" t="s">
        <v>11</v>
      </c>
      <c r="C163" s="35" t="s">
        <v>55</v>
      </c>
      <c r="D163" s="36">
        <v>30</v>
      </c>
      <c r="E163" s="3" t="str">
        <f t="shared" si="0"/>
        <v>TELEFONICA-JUNIO FIJO</v>
      </c>
      <c r="F163" s="2">
        <v>761966</v>
      </c>
      <c r="G163" s="7">
        <v>71.099999999999994</v>
      </c>
      <c r="H163" s="7">
        <v>71.099999999999994</v>
      </c>
      <c r="I163" s="30" t="s">
        <v>9</v>
      </c>
      <c r="J163" s="31">
        <v>1</v>
      </c>
    </row>
    <row r="164" spans="1:10" x14ac:dyDescent="0.25">
      <c r="A164" s="8">
        <v>45126</v>
      </c>
      <c r="B164" s="31" t="s">
        <v>11</v>
      </c>
      <c r="C164" s="35" t="s">
        <v>55</v>
      </c>
      <c r="D164" s="36">
        <v>30</v>
      </c>
      <c r="E164" s="3" t="str">
        <f t="shared" si="0"/>
        <v>TELEFONICA-JUNIO FIJO</v>
      </c>
      <c r="F164" s="2">
        <v>761965</v>
      </c>
      <c r="G164" s="7">
        <v>71.239999999999995</v>
      </c>
      <c r="H164" s="7">
        <v>71.239999999999995</v>
      </c>
      <c r="I164" s="30" t="s">
        <v>9</v>
      </c>
      <c r="J164" s="31">
        <v>1</v>
      </c>
    </row>
    <row r="165" spans="1:10" x14ac:dyDescent="0.25">
      <c r="A165" s="8">
        <v>45126</v>
      </c>
      <c r="B165" s="31" t="s">
        <v>11</v>
      </c>
      <c r="C165" s="35" t="s">
        <v>55</v>
      </c>
      <c r="D165" s="36">
        <v>30</v>
      </c>
      <c r="E165" s="3" t="str">
        <f t="shared" si="0"/>
        <v>TELEFONICA-JUNIO FIJO</v>
      </c>
      <c r="F165" s="2">
        <v>762044</v>
      </c>
      <c r="G165" s="7">
        <v>74.63</v>
      </c>
      <c r="H165" s="7">
        <v>74.63</v>
      </c>
      <c r="I165" s="30" t="s">
        <v>9</v>
      </c>
      <c r="J165" s="31">
        <v>1</v>
      </c>
    </row>
    <row r="166" spans="1:10" x14ac:dyDescent="0.25">
      <c r="A166" s="8">
        <v>45126</v>
      </c>
      <c r="B166" s="31" t="s">
        <v>11</v>
      </c>
      <c r="C166" s="35" t="s">
        <v>55</v>
      </c>
      <c r="D166" s="36">
        <v>30</v>
      </c>
      <c r="E166" s="3" t="str">
        <f t="shared" si="0"/>
        <v>TELEFONICA-JUNIO FIJO</v>
      </c>
      <c r="F166" s="2">
        <v>761961</v>
      </c>
      <c r="G166" s="7">
        <v>75.66</v>
      </c>
      <c r="H166" s="7">
        <v>75.66</v>
      </c>
      <c r="I166" s="30" t="s">
        <v>9</v>
      </c>
      <c r="J166" s="31">
        <v>1</v>
      </c>
    </row>
    <row r="167" spans="1:10" x14ac:dyDescent="0.25">
      <c r="A167" s="8">
        <v>45126</v>
      </c>
      <c r="B167" s="31" t="s">
        <v>11</v>
      </c>
      <c r="C167" s="35" t="s">
        <v>55</v>
      </c>
      <c r="D167" s="36">
        <v>30</v>
      </c>
      <c r="E167" s="3" t="str">
        <f t="shared" si="0"/>
        <v>TELEFONICA-JUNIO FIJO</v>
      </c>
      <c r="F167" s="2">
        <v>761959</v>
      </c>
      <c r="G167" s="7">
        <v>78.97</v>
      </c>
      <c r="H167" s="7">
        <v>78.97</v>
      </c>
      <c r="I167" s="30" t="s">
        <v>9</v>
      </c>
      <c r="J167" s="31">
        <v>1</v>
      </c>
    </row>
    <row r="168" spans="1:10" x14ac:dyDescent="0.25">
      <c r="A168" s="8">
        <v>45126</v>
      </c>
      <c r="B168" s="31" t="s">
        <v>11</v>
      </c>
      <c r="C168" s="35" t="s">
        <v>55</v>
      </c>
      <c r="D168" s="36">
        <v>30</v>
      </c>
      <c r="E168" s="3" t="str">
        <f t="shared" si="0"/>
        <v>TELEFONICA-JUNIO FIJO</v>
      </c>
      <c r="F168" s="2">
        <v>761970</v>
      </c>
      <c r="G168" s="7">
        <v>88.7</v>
      </c>
      <c r="H168" s="7">
        <v>88.7</v>
      </c>
      <c r="I168" s="30" t="s">
        <v>9</v>
      </c>
      <c r="J168" s="31">
        <v>1</v>
      </c>
    </row>
    <row r="169" spans="1:10" x14ac:dyDescent="0.25">
      <c r="A169" s="8">
        <v>45126</v>
      </c>
      <c r="B169" s="31" t="s">
        <v>11</v>
      </c>
      <c r="C169" s="35" t="s">
        <v>55</v>
      </c>
      <c r="D169" s="36">
        <v>30</v>
      </c>
      <c r="E169" s="3" t="str">
        <f t="shared" si="0"/>
        <v>TELEFONICA-JUNIO FIJO</v>
      </c>
      <c r="F169" s="2">
        <v>762060</v>
      </c>
      <c r="G169" s="7">
        <v>99.51</v>
      </c>
      <c r="H169" s="7">
        <v>99.51</v>
      </c>
      <c r="I169" s="30" t="s">
        <v>9</v>
      </c>
      <c r="J169" s="31">
        <v>1</v>
      </c>
    </row>
    <row r="170" spans="1:10" x14ac:dyDescent="0.25">
      <c r="A170" s="8">
        <v>45126</v>
      </c>
      <c r="B170" s="31" t="s">
        <v>11</v>
      </c>
      <c r="C170" s="35" t="s">
        <v>55</v>
      </c>
      <c r="D170" s="36">
        <v>30</v>
      </c>
      <c r="E170" s="3" t="str">
        <f t="shared" si="0"/>
        <v>TELEFONICA-JUNIO FIJO</v>
      </c>
      <c r="F170" s="2">
        <v>761958</v>
      </c>
      <c r="G170" s="7">
        <v>180.39</v>
      </c>
      <c r="H170" s="7">
        <v>180.39</v>
      </c>
      <c r="I170" s="30" t="s">
        <v>9</v>
      </c>
      <c r="J170" s="31">
        <v>1</v>
      </c>
    </row>
    <row r="171" spans="1:10" x14ac:dyDescent="0.25">
      <c r="A171" s="8">
        <v>45126</v>
      </c>
      <c r="B171" s="31" t="s">
        <v>11</v>
      </c>
      <c r="C171" s="35" t="s">
        <v>55</v>
      </c>
      <c r="D171" s="36">
        <v>30</v>
      </c>
      <c r="E171" s="3" t="str">
        <f t="shared" si="0"/>
        <v>TELEFONICA-JUNIO FIJO</v>
      </c>
      <c r="F171" s="2">
        <v>762059</v>
      </c>
      <c r="G171" s="7">
        <v>202.55</v>
      </c>
      <c r="H171" s="7">
        <v>202.55</v>
      </c>
      <c r="I171" s="30" t="s">
        <v>9</v>
      </c>
      <c r="J171" s="31">
        <v>1</v>
      </c>
    </row>
    <row r="172" spans="1:10" x14ac:dyDescent="0.25">
      <c r="A172" s="8">
        <v>45126</v>
      </c>
      <c r="B172" s="31" t="s">
        <v>11</v>
      </c>
      <c r="C172" s="35" t="s">
        <v>55</v>
      </c>
      <c r="D172" s="36">
        <v>30</v>
      </c>
      <c r="E172" s="3" t="str">
        <f t="shared" si="0"/>
        <v>TELEFONICA-JUNIO FIJO</v>
      </c>
      <c r="F172" s="2">
        <v>761964</v>
      </c>
      <c r="G172" s="7">
        <v>218.64</v>
      </c>
      <c r="H172" s="7">
        <v>218.64</v>
      </c>
      <c r="I172" s="30" t="s">
        <v>9</v>
      </c>
      <c r="J172" s="31">
        <v>1</v>
      </c>
    </row>
    <row r="173" spans="1:10" x14ac:dyDescent="0.25">
      <c r="A173" s="8">
        <v>45126</v>
      </c>
      <c r="B173" s="31" t="s">
        <v>12</v>
      </c>
      <c r="C173" s="35" t="s">
        <v>42</v>
      </c>
      <c r="D173" s="36">
        <v>1</v>
      </c>
      <c r="E173" s="3" t="str">
        <f>"GERARDO L. CUBAS - HIP HOP TRA"</f>
        <v>GERARDO L. CUBAS - HIP HOP TRA</v>
      </c>
      <c r="F173" s="2">
        <v>2412</v>
      </c>
      <c r="G173" s="7">
        <v>236.9</v>
      </c>
      <c r="H173" s="7">
        <v>236.9</v>
      </c>
      <c r="I173" s="30" t="s">
        <v>9</v>
      </c>
      <c r="J173" s="31">
        <v>1</v>
      </c>
    </row>
    <row r="174" spans="1:10" x14ac:dyDescent="0.25">
      <c r="A174" s="8">
        <v>45126</v>
      </c>
      <c r="B174" s="31" t="s">
        <v>15</v>
      </c>
      <c r="C174" s="35" t="s">
        <v>69</v>
      </c>
      <c r="D174" s="36">
        <v>1</v>
      </c>
      <c r="E174" s="3" t="str">
        <f>"RAMON A. PINTO - GASTOS"</f>
        <v>RAMON A. PINTO - GASTOS</v>
      </c>
      <c r="F174" s="2">
        <v>4</v>
      </c>
      <c r="G174" s="7">
        <v>249.73</v>
      </c>
      <c r="H174" s="7">
        <v>249.73</v>
      </c>
      <c r="I174" s="30" t="s">
        <v>9</v>
      </c>
      <c r="J174" s="31">
        <v>1</v>
      </c>
    </row>
    <row r="175" spans="1:10" x14ac:dyDescent="0.25">
      <c r="A175" s="8">
        <v>45126</v>
      </c>
      <c r="B175" s="31" t="s">
        <v>15</v>
      </c>
      <c r="C175" s="35" t="s">
        <v>70</v>
      </c>
      <c r="D175" s="36">
        <v>1</v>
      </c>
      <c r="E175" s="3" t="str">
        <f>"ASOC. BATUCADA RETUMBAYA - GAL"</f>
        <v>ASOC. BATUCADA RETUMBAYA - GAL</v>
      </c>
      <c r="F175" s="2">
        <v>1</v>
      </c>
      <c r="G175" s="7">
        <v>350</v>
      </c>
      <c r="H175" s="7">
        <v>350</v>
      </c>
      <c r="I175" s="30" t="s">
        <v>9</v>
      </c>
      <c r="J175" s="31">
        <v>1</v>
      </c>
    </row>
    <row r="176" spans="1:10" x14ac:dyDescent="0.25">
      <c r="A176" s="8">
        <v>45126</v>
      </c>
      <c r="B176" s="31" t="s">
        <v>15</v>
      </c>
      <c r="C176" s="35" t="s">
        <v>70</v>
      </c>
      <c r="D176" s="36">
        <v>1</v>
      </c>
      <c r="E176" s="3" t="str">
        <f>"CARLA ESTRELLA SOCORRO - VETER"</f>
        <v>CARLA ESTRELLA SOCORRO - VETER</v>
      </c>
      <c r="F176" s="2">
        <v>14</v>
      </c>
      <c r="G176" s="7">
        <v>400</v>
      </c>
      <c r="H176" s="7">
        <v>400</v>
      </c>
      <c r="I176" s="30" t="s">
        <v>9</v>
      </c>
      <c r="J176" s="31">
        <v>1</v>
      </c>
    </row>
    <row r="177" spans="1:10" x14ac:dyDescent="0.25">
      <c r="A177" s="8">
        <v>45126</v>
      </c>
      <c r="B177" s="31" t="s">
        <v>11</v>
      </c>
      <c r="C177" s="35" t="s">
        <v>55</v>
      </c>
      <c r="D177" s="36">
        <v>30</v>
      </c>
      <c r="E177" s="3" t="str">
        <f>"TELEFONICA-JUNIO FIJO"</f>
        <v>TELEFONICA-JUNIO FIJO</v>
      </c>
      <c r="F177" s="2">
        <v>762064</v>
      </c>
      <c r="G177" s="7">
        <v>429.57</v>
      </c>
      <c r="H177" s="7">
        <v>429.57</v>
      </c>
      <c r="I177" s="30" t="s">
        <v>9</v>
      </c>
      <c r="J177" s="31">
        <v>1</v>
      </c>
    </row>
    <row r="178" spans="1:10" x14ac:dyDescent="0.25">
      <c r="A178" s="8">
        <v>45126</v>
      </c>
      <c r="B178" s="31" t="s">
        <v>15</v>
      </c>
      <c r="C178" s="35" t="s">
        <v>70</v>
      </c>
      <c r="D178" s="36">
        <v>2</v>
      </c>
      <c r="E178" s="3" t="str">
        <f>"BATUCADA SAMBA ISLEÑA - ACT. V"</f>
        <v>BATUCADA SAMBA ISLEÑA - ACT. V</v>
      </c>
      <c r="F178" s="2">
        <v>20</v>
      </c>
      <c r="G178" s="7">
        <v>500</v>
      </c>
      <c r="H178" s="7">
        <v>500</v>
      </c>
      <c r="I178" s="30" t="s">
        <v>9</v>
      </c>
      <c r="J178" s="31">
        <v>1</v>
      </c>
    </row>
    <row r="179" spans="1:10" x14ac:dyDescent="0.25">
      <c r="A179" s="8">
        <v>45126</v>
      </c>
      <c r="B179" s="31" t="s">
        <v>15</v>
      </c>
      <c r="C179" s="35" t="s">
        <v>44</v>
      </c>
      <c r="D179" s="36">
        <v>2</v>
      </c>
      <c r="E179" s="3" t="str">
        <f>"SSM PESONALITIES - NIEVES ALVA"</f>
        <v>SSM PESONALITIES - NIEVES ALVA</v>
      </c>
      <c r="F179" s="2">
        <v>40</v>
      </c>
      <c r="G179" s="7">
        <v>500</v>
      </c>
      <c r="H179" s="7">
        <v>500</v>
      </c>
      <c r="I179" s="30" t="s">
        <v>9</v>
      </c>
      <c r="J179" s="31">
        <v>1</v>
      </c>
    </row>
    <row r="180" spans="1:10" x14ac:dyDescent="0.25">
      <c r="A180" s="8">
        <v>45126</v>
      </c>
      <c r="B180" s="31" t="s">
        <v>12</v>
      </c>
      <c r="C180" s="35" t="s">
        <v>42</v>
      </c>
      <c r="D180" s="36">
        <v>1</v>
      </c>
      <c r="E180" s="3" t="str">
        <f>"GERARDO L. CUBAS - HIP HOP"</f>
        <v>GERARDO L. CUBAS - HIP HOP</v>
      </c>
      <c r="F180" s="2">
        <v>2340</v>
      </c>
      <c r="G180" s="7">
        <v>710.7</v>
      </c>
      <c r="H180" s="7">
        <v>710.7</v>
      </c>
      <c r="I180" s="30" t="s">
        <v>9</v>
      </c>
      <c r="J180" s="31">
        <v>1</v>
      </c>
    </row>
    <row r="181" spans="1:10" x14ac:dyDescent="0.25">
      <c r="A181" s="8">
        <v>45126</v>
      </c>
      <c r="B181" s="31" t="s">
        <v>15</v>
      </c>
      <c r="C181" s="35" t="s">
        <v>70</v>
      </c>
      <c r="D181" s="36">
        <v>1</v>
      </c>
      <c r="E181" s="3" t="str">
        <f>"PROD. ESC. CLAPSO - ARAGUIME"</f>
        <v>PROD. ESC. CLAPSO - ARAGUIME</v>
      </c>
      <c r="F181" s="2">
        <v>19</v>
      </c>
      <c r="G181" s="7">
        <v>856</v>
      </c>
      <c r="H181" s="7">
        <v>856</v>
      </c>
      <c r="I181" s="30" t="s">
        <v>9</v>
      </c>
      <c r="J181" s="31">
        <v>1</v>
      </c>
    </row>
    <row r="182" spans="1:10" x14ac:dyDescent="0.25">
      <c r="A182" s="8">
        <v>45126</v>
      </c>
      <c r="B182" s="31" t="s">
        <v>15</v>
      </c>
      <c r="C182" s="35" t="s">
        <v>44</v>
      </c>
      <c r="D182" s="36">
        <v>1</v>
      </c>
      <c r="E182" s="3" t="str">
        <f>"CAMINO VIEJO - D´MUSIC"</f>
        <v>CAMINO VIEJO - D´MUSIC</v>
      </c>
      <c r="F182" s="2">
        <v>121</v>
      </c>
      <c r="G182" s="7">
        <v>963</v>
      </c>
      <c r="H182" s="7">
        <v>963</v>
      </c>
      <c r="I182" s="30" t="s">
        <v>9</v>
      </c>
      <c r="J182" s="31">
        <v>1</v>
      </c>
    </row>
    <row r="183" spans="1:10" x14ac:dyDescent="0.25">
      <c r="A183" s="8">
        <v>45126</v>
      </c>
      <c r="B183" s="31" t="s">
        <v>15</v>
      </c>
      <c r="C183" s="35" t="s">
        <v>70</v>
      </c>
      <c r="D183" s="36">
        <v>25</v>
      </c>
      <c r="E183" s="3" t="str">
        <f>"PROD. ESC. CLAPSO - BAILARINES"</f>
        <v>PROD. ESC. CLAPSO - BAILARINES</v>
      </c>
      <c r="F183" s="2">
        <v>11</v>
      </c>
      <c r="G183" s="7">
        <v>1070</v>
      </c>
      <c r="H183" s="7">
        <v>1070</v>
      </c>
      <c r="I183" s="30" t="s">
        <v>9</v>
      </c>
      <c r="J183" s="31">
        <v>1</v>
      </c>
    </row>
    <row r="184" spans="1:10" x14ac:dyDescent="0.25">
      <c r="A184" s="8">
        <v>45126</v>
      </c>
      <c r="B184" s="31" t="s">
        <v>15</v>
      </c>
      <c r="C184" s="35" t="s">
        <v>44</v>
      </c>
      <c r="D184" s="36">
        <v>1</v>
      </c>
      <c r="E184" s="3" t="str">
        <f>"PROD. ESC. CLAPSO - DACIL SUAR"</f>
        <v>PROD. ESC. CLAPSO - DACIL SUAR</v>
      </c>
      <c r="F184" s="2">
        <v>13</v>
      </c>
      <c r="G184" s="7">
        <v>1070</v>
      </c>
      <c r="H184" s="7">
        <v>1070</v>
      </c>
      <c r="I184" s="30" t="s">
        <v>9</v>
      </c>
      <c r="J184" s="31">
        <v>1</v>
      </c>
    </row>
    <row r="185" spans="1:10" x14ac:dyDescent="0.25">
      <c r="A185" s="8">
        <v>45126</v>
      </c>
      <c r="B185" s="31" t="s">
        <v>15</v>
      </c>
      <c r="C185" s="35" t="s">
        <v>71</v>
      </c>
      <c r="D185" s="36">
        <v>1</v>
      </c>
      <c r="E185" s="3" t="str">
        <f>"GALAXYS - VARIOS"</f>
        <v>GALAXYS - VARIOS</v>
      </c>
      <c r="F185" s="2">
        <v>650</v>
      </c>
      <c r="G185" s="7">
        <v>1227.29</v>
      </c>
      <c r="H185" s="7">
        <v>1227.29</v>
      </c>
      <c r="I185" s="30" t="s">
        <v>9</v>
      </c>
      <c r="J185" s="31">
        <v>1</v>
      </c>
    </row>
    <row r="186" spans="1:10" x14ac:dyDescent="0.25">
      <c r="A186" s="8">
        <v>45126</v>
      </c>
      <c r="B186" s="31" t="s">
        <v>15</v>
      </c>
      <c r="C186" s="35" t="s">
        <v>44</v>
      </c>
      <c r="D186" s="36">
        <v>1</v>
      </c>
      <c r="E186" s="3" t="str">
        <f>"ASC. CULT. LA CHIRIMURGA - ACT"</f>
        <v>ASC. CULT. LA CHIRIMURGA - ACT</v>
      </c>
      <c r="F186" s="2">
        <v>1</v>
      </c>
      <c r="G186" s="7">
        <v>1300</v>
      </c>
      <c r="H186" s="7">
        <v>1300</v>
      </c>
      <c r="I186" s="30" t="s">
        <v>9</v>
      </c>
      <c r="J186" s="31">
        <v>1</v>
      </c>
    </row>
    <row r="187" spans="1:10" x14ac:dyDescent="0.25">
      <c r="A187" s="8">
        <v>45126</v>
      </c>
      <c r="B187" s="31" t="s">
        <v>15</v>
      </c>
      <c r="C187" s="35" t="s">
        <v>44</v>
      </c>
      <c r="D187" s="36">
        <v>1</v>
      </c>
      <c r="E187" s="3" t="str">
        <f>"ARC LOS PEREGRINOS - ACT.CHIRI"</f>
        <v>ARC LOS PEREGRINOS - ACT.CHIRI</v>
      </c>
      <c r="F187" s="2">
        <v>1</v>
      </c>
      <c r="G187" s="7">
        <v>1500</v>
      </c>
      <c r="H187" s="7">
        <v>1500</v>
      </c>
      <c r="I187" s="30" t="s">
        <v>9</v>
      </c>
      <c r="J187" s="31">
        <v>1</v>
      </c>
    </row>
    <row r="188" spans="1:10" x14ac:dyDescent="0.25">
      <c r="A188" s="8">
        <v>45126</v>
      </c>
      <c r="B188" s="31" t="s">
        <v>15</v>
      </c>
      <c r="C188" s="35" t="s">
        <v>70</v>
      </c>
      <c r="D188" s="36">
        <v>6</v>
      </c>
      <c r="E188" s="3" t="str">
        <f>"MANUEL ESTUPIÑAN-PROD.MUSICAL"</f>
        <v>MANUEL ESTUPIÑAN-PROD.MUSICAL</v>
      </c>
      <c r="F188" s="2">
        <v>8</v>
      </c>
      <c r="G188" s="7">
        <v>1564</v>
      </c>
      <c r="H188" s="7">
        <v>1564</v>
      </c>
      <c r="I188" s="30" t="s">
        <v>9</v>
      </c>
      <c r="J188" s="31">
        <v>1</v>
      </c>
    </row>
    <row r="189" spans="1:10" x14ac:dyDescent="0.25">
      <c r="A189" s="8">
        <v>45126</v>
      </c>
      <c r="B189" s="31" t="s">
        <v>15</v>
      </c>
      <c r="C189" s="35" t="s">
        <v>26</v>
      </c>
      <c r="D189" s="36">
        <v>15</v>
      </c>
      <c r="E189" s="3" t="str">
        <f>"PROSPERO MEDINA - TEC. SONIDO"</f>
        <v>PROSPERO MEDINA - TEC. SONIDO</v>
      </c>
      <c r="F189" s="2">
        <v>15</v>
      </c>
      <c r="G189" s="7">
        <v>1840</v>
      </c>
      <c r="H189" s="7">
        <v>1840</v>
      </c>
      <c r="I189" s="30" t="s">
        <v>9</v>
      </c>
      <c r="J189" s="31">
        <v>1</v>
      </c>
    </row>
    <row r="190" spans="1:10" x14ac:dyDescent="0.25">
      <c r="A190" s="8">
        <v>45126</v>
      </c>
      <c r="B190" s="31" t="s">
        <v>15</v>
      </c>
      <c r="C190" s="35" t="s">
        <v>26</v>
      </c>
      <c r="D190" s="36">
        <v>1</v>
      </c>
      <c r="E190" s="3" t="str">
        <f>"AUDIOLUZ - GAL SORT CANDIDAT"</f>
        <v>AUDIOLUZ - GAL SORT CANDIDAT</v>
      </c>
      <c r="F190" s="2">
        <v>40</v>
      </c>
      <c r="G190" s="7">
        <v>1992.6</v>
      </c>
      <c r="H190" s="7">
        <v>1992.6</v>
      </c>
      <c r="I190" s="30" t="s">
        <v>9</v>
      </c>
      <c r="J190" s="31">
        <v>1</v>
      </c>
    </row>
    <row r="191" spans="1:10" x14ac:dyDescent="0.25">
      <c r="A191" s="8">
        <v>45126</v>
      </c>
      <c r="B191" s="31" t="s">
        <v>15</v>
      </c>
      <c r="C191" s="35" t="s">
        <v>43</v>
      </c>
      <c r="D191" s="36">
        <v>1</v>
      </c>
      <c r="E191" s="3" t="str">
        <f>"ISIDRO JAVIER PEREZ - GAN. SAL"</f>
        <v>ISIDRO JAVIER PEREZ - GAN. SAL</v>
      </c>
      <c r="F191" s="2">
        <v>146</v>
      </c>
      <c r="G191" s="7">
        <v>2025</v>
      </c>
      <c r="H191" s="7">
        <v>2025</v>
      </c>
      <c r="I191" s="30" t="s">
        <v>9</v>
      </c>
      <c r="J191" s="31">
        <v>1</v>
      </c>
    </row>
    <row r="192" spans="1:10" x14ac:dyDescent="0.25">
      <c r="A192" s="8">
        <v>45126</v>
      </c>
      <c r="B192" s="31" t="s">
        <v>15</v>
      </c>
      <c r="C192" s="35" t="s">
        <v>70</v>
      </c>
      <c r="D192" s="36">
        <v>1</v>
      </c>
      <c r="E192" s="3" t="str">
        <f>"FLEXO PUBL - MUEBLE TOMATO"</f>
        <v>FLEXO PUBL - MUEBLE TOMATO</v>
      </c>
      <c r="F192" s="2">
        <v>106</v>
      </c>
      <c r="G192" s="7">
        <v>2229.35</v>
      </c>
      <c r="H192" s="7">
        <v>2229.35</v>
      </c>
      <c r="I192" s="30" t="s">
        <v>9</v>
      </c>
      <c r="J192" s="31">
        <v>1</v>
      </c>
    </row>
    <row r="193" spans="1:10" x14ac:dyDescent="0.25">
      <c r="A193" s="8">
        <v>45126</v>
      </c>
      <c r="B193" s="31" t="s">
        <v>15</v>
      </c>
      <c r="C193" s="35" t="s">
        <v>70</v>
      </c>
      <c r="D193" s="36">
        <v>6</v>
      </c>
      <c r="E193" s="3" t="str">
        <f>"MANUEL ESTUPIÑAN - PRD. MUSICA"</f>
        <v>MANUEL ESTUPIÑAN - PRD. MUSICA</v>
      </c>
      <c r="F193" s="2">
        <v>9</v>
      </c>
      <c r="G193" s="7">
        <v>2300</v>
      </c>
      <c r="H193" s="7">
        <v>2300</v>
      </c>
      <c r="I193" s="30" t="s">
        <v>9</v>
      </c>
      <c r="J193" s="31">
        <v>1</v>
      </c>
    </row>
    <row r="194" spans="1:10" x14ac:dyDescent="0.25">
      <c r="A194" s="8">
        <v>45126</v>
      </c>
      <c r="B194" s="31" t="s">
        <v>15</v>
      </c>
      <c r="C194" s="35" t="s">
        <v>72</v>
      </c>
      <c r="D194" s="36">
        <v>1</v>
      </c>
      <c r="E194" s="3" t="str">
        <f>"JUAN FCO CABRERA - PREMIOS"</f>
        <v>JUAN FCO CABRERA - PREMIOS</v>
      </c>
      <c r="F194" s="2">
        <v>3548</v>
      </c>
      <c r="G194" s="7">
        <v>2546.6</v>
      </c>
      <c r="H194" s="7">
        <v>2546.6</v>
      </c>
      <c r="I194" s="30" t="s">
        <v>9</v>
      </c>
      <c r="J194" s="31">
        <v>1</v>
      </c>
    </row>
    <row r="195" spans="1:10" x14ac:dyDescent="0.25">
      <c r="A195" s="8">
        <v>45126</v>
      </c>
      <c r="B195" s="31" t="s">
        <v>15</v>
      </c>
      <c r="C195" s="35" t="s">
        <v>70</v>
      </c>
      <c r="D195" s="36">
        <v>1</v>
      </c>
      <c r="E195" s="3" t="str">
        <f>"INTERMECO - VARIOS"</f>
        <v>INTERMECO - VARIOS</v>
      </c>
      <c r="F195" s="2">
        <v>18</v>
      </c>
      <c r="G195" s="7">
        <v>2567.9</v>
      </c>
      <c r="H195" s="7">
        <v>2567.9</v>
      </c>
      <c r="I195" s="30" t="s">
        <v>9</v>
      </c>
      <c r="J195" s="31">
        <v>1</v>
      </c>
    </row>
    <row r="196" spans="1:10" x14ac:dyDescent="0.25">
      <c r="A196" s="8">
        <v>45126</v>
      </c>
      <c r="B196" s="31" t="s">
        <v>15</v>
      </c>
      <c r="C196" s="35" t="s">
        <v>41</v>
      </c>
      <c r="D196" s="36">
        <v>1</v>
      </c>
      <c r="E196" s="3" t="str">
        <f>"GRAFICAS LUMAID - PULSERAS"</f>
        <v>GRAFICAS LUMAID - PULSERAS</v>
      </c>
      <c r="F196" s="2">
        <v>26</v>
      </c>
      <c r="G196" s="7">
        <v>3145.8</v>
      </c>
      <c r="H196" s="7">
        <v>3145.8</v>
      </c>
      <c r="I196" s="30" t="s">
        <v>9</v>
      </c>
      <c r="J196" s="31">
        <v>1</v>
      </c>
    </row>
    <row r="197" spans="1:10" x14ac:dyDescent="0.25">
      <c r="A197" s="8">
        <v>45126</v>
      </c>
      <c r="B197" s="31" t="s">
        <v>18</v>
      </c>
      <c r="C197" s="35" t="s">
        <v>54</v>
      </c>
      <c r="D197" s="36">
        <v>1</v>
      </c>
      <c r="E197" s="3" t="str">
        <f>"AMPESA - VARIOS PTA CORREDERA"</f>
        <v>AMPESA - VARIOS PTA CORREDERA</v>
      </c>
      <c r="F197" s="2">
        <v>404</v>
      </c>
      <c r="G197" s="7">
        <v>3353.81</v>
      </c>
      <c r="H197" s="7">
        <v>3353.81</v>
      </c>
      <c r="I197" s="30" t="s">
        <v>9</v>
      </c>
      <c r="J197" s="31">
        <v>1</v>
      </c>
    </row>
    <row r="198" spans="1:10" x14ac:dyDescent="0.25">
      <c r="A198" s="8">
        <v>45126</v>
      </c>
      <c r="B198" s="31" t="s">
        <v>15</v>
      </c>
      <c r="C198" s="35" t="s">
        <v>70</v>
      </c>
      <c r="D198" s="36">
        <v>10</v>
      </c>
      <c r="E198" s="3" t="str">
        <f>"ARC LA CARROZA - SERV. PASACAL"</f>
        <v>ARC LA CARROZA - SERV. PASACAL</v>
      </c>
      <c r="F198" s="2">
        <v>11</v>
      </c>
      <c r="G198" s="7">
        <v>4815</v>
      </c>
      <c r="H198" s="7">
        <v>4815</v>
      </c>
      <c r="I198" s="30" t="s">
        <v>9</v>
      </c>
      <c r="J198" s="31">
        <v>1</v>
      </c>
    </row>
    <row r="199" spans="1:10" x14ac:dyDescent="0.25">
      <c r="A199" s="8">
        <v>45126</v>
      </c>
      <c r="B199" s="31" t="s">
        <v>15</v>
      </c>
      <c r="C199" s="35" t="s">
        <v>70</v>
      </c>
      <c r="D199" s="36">
        <v>1</v>
      </c>
      <c r="E199" s="3" t="str">
        <f>"EL PARAGUAS - SARDINA"</f>
        <v>EL PARAGUAS - SARDINA</v>
      </c>
      <c r="F199" s="2">
        <v>552</v>
      </c>
      <c r="G199" s="7">
        <v>5189.5</v>
      </c>
      <c r="H199" s="7">
        <v>5189.5</v>
      </c>
      <c r="I199" s="30" t="s">
        <v>9</v>
      </c>
      <c r="J199" s="31">
        <v>1</v>
      </c>
    </row>
    <row r="200" spans="1:10" x14ac:dyDescent="0.25">
      <c r="A200" s="8">
        <v>45126</v>
      </c>
      <c r="B200" s="31" t="s">
        <v>15</v>
      </c>
      <c r="C200" s="35" t="s">
        <v>70</v>
      </c>
      <c r="D200" s="36">
        <v>1</v>
      </c>
      <c r="E200" s="3" t="str">
        <f>"PROD. ESC. CLAPSO - LA MERIEND"</f>
        <v>PROD. ESC. CLAPSO - LA MERIEND</v>
      </c>
      <c r="F200" s="2">
        <v>14</v>
      </c>
      <c r="G200" s="7">
        <v>6206</v>
      </c>
      <c r="H200" s="7">
        <v>6206</v>
      </c>
      <c r="I200" s="30" t="s">
        <v>9</v>
      </c>
      <c r="J200" s="31">
        <v>1</v>
      </c>
    </row>
    <row r="201" spans="1:10" x14ac:dyDescent="0.25">
      <c r="A201" s="8">
        <v>45126</v>
      </c>
      <c r="B201" s="31" t="s">
        <v>15</v>
      </c>
      <c r="C201" s="35" t="s">
        <v>70</v>
      </c>
      <c r="D201" s="36">
        <v>1</v>
      </c>
      <c r="E201" s="3" t="str">
        <f>"DANIEL PINEDO - DISEÑOS"</f>
        <v>DANIEL PINEDO - DISEÑOS</v>
      </c>
      <c r="F201" s="2">
        <v>4</v>
      </c>
      <c r="G201" s="7">
        <v>7507.2</v>
      </c>
      <c r="H201" s="7">
        <v>7507.2</v>
      </c>
      <c r="I201" s="30" t="s">
        <v>9</v>
      </c>
      <c r="J201" s="31">
        <v>1</v>
      </c>
    </row>
    <row r="202" spans="1:10" x14ac:dyDescent="0.25">
      <c r="A202" s="8">
        <v>45126</v>
      </c>
      <c r="B202" s="31" t="s">
        <v>15</v>
      </c>
      <c r="C202" s="35" t="s">
        <v>46</v>
      </c>
      <c r="D202" s="36">
        <v>20</v>
      </c>
      <c r="E202" s="3" t="str">
        <f>"FED. INS. GR (FIGRUC) - BOCAD."</f>
        <v>FED. INS. GR (FIGRUC) - BOCAD.</v>
      </c>
      <c r="F202" s="2">
        <v>1</v>
      </c>
      <c r="G202" s="7">
        <v>8756</v>
      </c>
      <c r="H202" s="7">
        <v>8756</v>
      </c>
      <c r="I202" s="30" t="s">
        <v>9</v>
      </c>
      <c r="J202" s="31">
        <v>1</v>
      </c>
    </row>
    <row r="203" spans="1:10" x14ac:dyDescent="0.25">
      <c r="A203" s="8">
        <v>45126</v>
      </c>
      <c r="B203" s="31" t="s">
        <v>15</v>
      </c>
      <c r="C203" s="35" t="s">
        <v>70</v>
      </c>
      <c r="D203" s="36">
        <v>15</v>
      </c>
      <c r="E203" s="3" t="str">
        <f>"PROD. ESC. CLAPSO - SERV. MODE"</f>
        <v>PROD. ESC. CLAPSO - SERV. MODE</v>
      </c>
      <c r="F203" s="2">
        <v>10</v>
      </c>
      <c r="G203" s="7">
        <v>13256.4</v>
      </c>
      <c r="H203" s="7">
        <v>13256.4</v>
      </c>
      <c r="I203" s="30" t="s">
        <v>9</v>
      </c>
      <c r="J203" s="31">
        <v>1</v>
      </c>
    </row>
    <row r="204" spans="1:10" x14ac:dyDescent="0.25">
      <c r="A204" s="8">
        <v>45126</v>
      </c>
      <c r="B204" s="31" t="s">
        <v>15</v>
      </c>
      <c r="C204" s="35" t="s">
        <v>44</v>
      </c>
      <c r="D204" s="36">
        <v>1</v>
      </c>
      <c r="E204" s="3" t="str">
        <f>"ACTURA ART Y COM - GALAS"</f>
        <v>ACTURA ART Y COM - GALAS</v>
      </c>
      <c r="F204" s="2">
        <v>1353</v>
      </c>
      <c r="G204" s="7">
        <v>14500</v>
      </c>
      <c r="H204" s="7">
        <v>14500</v>
      </c>
      <c r="I204" s="30" t="s">
        <v>9</v>
      </c>
      <c r="J204" s="31">
        <v>1</v>
      </c>
    </row>
    <row r="205" spans="1:10" x14ac:dyDescent="0.25">
      <c r="A205" s="8">
        <v>45126</v>
      </c>
      <c r="B205" s="31" t="s">
        <v>13</v>
      </c>
      <c r="C205" s="35" t="s">
        <v>58</v>
      </c>
      <c r="D205" s="36">
        <v>1</v>
      </c>
      <c r="E205" s="3" t="str">
        <f>"BENAMAS SERV-COMPRA LIBROS"</f>
        <v>BENAMAS SERV-COMPRA LIBROS</v>
      </c>
      <c r="F205" s="2">
        <v>1520</v>
      </c>
      <c r="G205" s="7">
        <v>15000</v>
      </c>
      <c r="H205" s="7">
        <v>15000</v>
      </c>
      <c r="I205" s="30" t="s">
        <v>9</v>
      </c>
      <c r="J205" s="31">
        <v>1</v>
      </c>
    </row>
    <row r="206" spans="1:10" x14ac:dyDescent="0.25">
      <c r="A206" s="8">
        <v>45127</v>
      </c>
      <c r="B206" s="31" t="s">
        <v>39</v>
      </c>
      <c r="C206" s="35" t="s">
        <v>41</v>
      </c>
      <c r="D206" s="36">
        <v>1</v>
      </c>
      <c r="E206" s="3" t="str">
        <f>"GRAFICAS ABEMAK-DIPLOMAS"</f>
        <v>GRAFICAS ABEMAK-DIPLOMAS</v>
      </c>
      <c r="F206" s="2">
        <v>18020</v>
      </c>
      <c r="G206" s="7">
        <v>10.7</v>
      </c>
      <c r="H206" s="7">
        <v>10.7</v>
      </c>
      <c r="I206" s="30" t="s">
        <v>9</v>
      </c>
      <c r="J206" s="31">
        <v>1</v>
      </c>
    </row>
    <row r="207" spans="1:10" x14ac:dyDescent="0.25">
      <c r="A207" s="8">
        <v>45127</v>
      </c>
      <c r="B207" s="31" t="s">
        <v>11</v>
      </c>
      <c r="C207" s="35" t="s">
        <v>21</v>
      </c>
      <c r="D207" s="36">
        <v>1</v>
      </c>
      <c r="E207" s="3" t="str">
        <f>"MARIA MAR NARANJO-FORMACION"</f>
        <v>MARIA MAR NARANJO-FORMACION</v>
      </c>
      <c r="F207" s="2">
        <v>42</v>
      </c>
      <c r="G207" s="7">
        <v>1530</v>
      </c>
      <c r="H207" s="7">
        <v>1530</v>
      </c>
      <c r="I207" s="30" t="s">
        <v>9</v>
      </c>
      <c r="J207" s="31">
        <v>1</v>
      </c>
    </row>
    <row r="208" spans="1:10" x14ac:dyDescent="0.25">
      <c r="A208" s="8">
        <v>45127</v>
      </c>
      <c r="B208" s="31" t="s">
        <v>15</v>
      </c>
      <c r="C208" s="35" t="s">
        <v>73</v>
      </c>
      <c r="D208" s="36">
        <v>1</v>
      </c>
      <c r="E208" s="3" t="str">
        <f>"FALCK-BOMBEROS ENTIERR.SARDINA"</f>
        <v>FALCK-BOMBEROS ENTIERR.SARDINA</v>
      </c>
      <c r="F208" s="2">
        <v>19853</v>
      </c>
      <c r="G208" s="7">
        <v>6409.3</v>
      </c>
      <c r="H208" s="7">
        <v>6409.3</v>
      </c>
      <c r="I208" s="30" t="s">
        <v>9</v>
      </c>
      <c r="J208" s="31">
        <v>1</v>
      </c>
    </row>
    <row r="209" spans="1:10" x14ac:dyDescent="0.25">
      <c r="A209" s="8">
        <v>45128</v>
      </c>
      <c r="B209" s="31" t="s">
        <v>52</v>
      </c>
      <c r="C209" s="35" t="s">
        <v>40</v>
      </c>
      <c r="D209" s="36">
        <v>1</v>
      </c>
      <c r="E209" s="3" t="str">
        <f>"TAQUILLA CAN - AZAF/COM"</f>
        <v>TAQUILLA CAN - AZAF/COM</v>
      </c>
      <c r="F209" s="2">
        <v>230057</v>
      </c>
      <c r="G209" s="7">
        <v>241.6</v>
      </c>
      <c r="H209" s="7">
        <v>241.6</v>
      </c>
      <c r="I209" s="30" t="s">
        <v>9</v>
      </c>
      <c r="J209" s="31">
        <v>1</v>
      </c>
    </row>
    <row r="210" spans="1:10" x14ac:dyDescent="0.25">
      <c r="A210" s="8">
        <v>45128</v>
      </c>
      <c r="B210" s="31" t="s">
        <v>52</v>
      </c>
      <c r="C210" s="35" t="s">
        <v>40</v>
      </c>
      <c r="D210" s="36">
        <v>3</v>
      </c>
      <c r="E210" s="3" t="str">
        <f>"TAQUILLA CAN - AZF/COM ENTRECO"</f>
        <v>TAQUILLA CAN - AZF/COM ENTRECO</v>
      </c>
      <c r="F210" s="2">
        <v>230058</v>
      </c>
      <c r="G210" s="7">
        <v>1013.29</v>
      </c>
      <c r="H210" s="7">
        <v>1013.29</v>
      </c>
      <c r="I210" s="30" t="s">
        <v>9</v>
      </c>
      <c r="J210" s="31">
        <v>1</v>
      </c>
    </row>
    <row r="211" spans="1:10" x14ac:dyDescent="0.25">
      <c r="A211" s="8">
        <v>45128</v>
      </c>
      <c r="B211" s="31" t="s">
        <v>11</v>
      </c>
      <c r="C211" s="35" t="s">
        <v>74</v>
      </c>
      <c r="D211" s="36">
        <v>1</v>
      </c>
      <c r="E211" s="3" t="str">
        <f>"GRUPO ATICO34 - PLAN DE IGUALD"</f>
        <v>GRUPO ATICO34 - PLAN DE IGUALD</v>
      </c>
      <c r="F211" s="2">
        <v>1094</v>
      </c>
      <c r="G211" s="7">
        <v>1185</v>
      </c>
      <c r="H211" s="7">
        <v>1185</v>
      </c>
      <c r="I211" s="30" t="s">
        <v>9</v>
      </c>
      <c r="J211" s="31">
        <v>1</v>
      </c>
    </row>
    <row r="212" spans="1:10" x14ac:dyDescent="0.25">
      <c r="A212" s="8">
        <v>45131</v>
      </c>
      <c r="B212" s="31" t="s">
        <v>11</v>
      </c>
      <c r="C212" s="35" t="s">
        <v>55</v>
      </c>
      <c r="D212" s="36">
        <v>30</v>
      </c>
      <c r="E212" s="3" t="str">
        <f>"TELEFONICA MOVILES-JUNIO"</f>
        <v>TELEFONICA MOVILES-JUNIO</v>
      </c>
      <c r="F212" s="2">
        <v>448150</v>
      </c>
      <c r="G212" s="7">
        <v>389.08</v>
      </c>
      <c r="H212" s="7">
        <v>389.08</v>
      </c>
      <c r="I212" s="30" t="s">
        <v>9</v>
      </c>
      <c r="J212" s="31">
        <v>1</v>
      </c>
    </row>
    <row r="213" spans="1:10" x14ac:dyDescent="0.25">
      <c r="A213" s="8">
        <v>45131</v>
      </c>
      <c r="B213" s="31" t="s">
        <v>15</v>
      </c>
      <c r="C213" s="35" t="s">
        <v>26</v>
      </c>
      <c r="D213" s="36">
        <v>1</v>
      </c>
      <c r="E213" s="3" t="str">
        <f>"JUAN L.CARRASCO-TRIANGULOS"</f>
        <v>JUAN L.CARRASCO-TRIANGULOS</v>
      </c>
      <c r="F213" s="2">
        <v>5</v>
      </c>
      <c r="G213" s="7">
        <v>552</v>
      </c>
      <c r="H213" s="7">
        <v>552</v>
      </c>
      <c r="I213" s="30" t="s">
        <v>9</v>
      </c>
      <c r="J213" s="31">
        <v>1</v>
      </c>
    </row>
    <row r="214" spans="1:10" x14ac:dyDescent="0.25">
      <c r="A214" s="8">
        <v>45131</v>
      </c>
      <c r="B214" s="31" t="s">
        <v>15</v>
      </c>
      <c r="C214" s="35" t="s">
        <v>23</v>
      </c>
      <c r="D214" s="36">
        <v>30</v>
      </c>
      <c r="E214" s="3" t="str">
        <f>"QUANTOR ADES-MAYO AUXILIARES"</f>
        <v>QUANTOR ADES-MAYO AUXILIARES</v>
      </c>
      <c r="F214" s="2">
        <v>350</v>
      </c>
      <c r="G214" s="7">
        <v>668.71</v>
      </c>
      <c r="H214" s="7">
        <v>668.71</v>
      </c>
      <c r="I214" s="30" t="s">
        <v>9</v>
      </c>
      <c r="J214" s="31">
        <v>1</v>
      </c>
    </row>
    <row r="215" spans="1:10" x14ac:dyDescent="0.25">
      <c r="A215" s="8">
        <v>45131</v>
      </c>
      <c r="B215" s="31" t="s">
        <v>12</v>
      </c>
      <c r="C215" s="35" t="s">
        <v>22</v>
      </c>
      <c r="D215" s="36">
        <v>30</v>
      </c>
      <c r="E215" s="3" t="str">
        <f>"ENDESA XXI-JUNO C. MATA"</f>
        <v>ENDESA XXI-JUNO C. MATA</v>
      </c>
      <c r="F215" s="2">
        <v>452</v>
      </c>
      <c r="G215" s="7">
        <v>1115.9000000000001</v>
      </c>
      <c r="H215" s="7">
        <v>1115.9000000000001</v>
      </c>
      <c r="I215" s="30" t="s">
        <v>9</v>
      </c>
      <c r="J215" s="31">
        <v>1</v>
      </c>
    </row>
    <row r="216" spans="1:10" x14ac:dyDescent="0.25">
      <c r="A216" s="8">
        <v>45131</v>
      </c>
      <c r="B216" s="31" t="s">
        <v>15</v>
      </c>
      <c r="C216" s="35" t="s">
        <v>26</v>
      </c>
      <c r="D216" s="36">
        <v>1</v>
      </c>
      <c r="E216" s="3" t="str">
        <f>"FCO.J.NARANJO-TRANSP.MATERIAL"</f>
        <v>FCO.J.NARANJO-TRANSP.MATERIAL</v>
      </c>
      <c r="F216" s="2">
        <v>7</v>
      </c>
      <c r="G216" s="7">
        <v>1371.7</v>
      </c>
      <c r="H216" s="7">
        <v>1371.7</v>
      </c>
      <c r="I216" s="30" t="s">
        <v>9</v>
      </c>
      <c r="J216" s="31">
        <v>1</v>
      </c>
    </row>
    <row r="217" spans="1:10" x14ac:dyDescent="0.25">
      <c r="A217" s="8">
        <v>45131</v>
      </c>
      <c r="B217" s="31" t="s">
        <v>15</v>
      </c>
      <c r="C217" s="35" t="s">
        <v>26</v>
      </c>
      <c r="D217" s="36">
        <v>1</v>
      </c>
      <c r="E217" s="3" t="str">
        <f>"JUAN L.CARRASCO-ANCLAJES MARCO"</f>
        <v>JUAN L.CARRASCO-ANCLAJES MARCO</v>
      </c>
      <c r="F217" s="2">
        <v>4</v>
      </c>
      <c r="G217" s="7">
        <v>1840</v>
      </c>
      <c r="H217" s="7">
        <v>1840</v>
      </c>
      <c r="I217" s="30" t="s">
        <v>9</v>
      </c>
      <c r="J217" s="31">
        <v>1</v>
      </c>
    </row>
    <row r="218" spans="1:10" x14ac:dyDescent="0.25">
      <c r="A218" s="8">
        <v>45131</v>
      </c>
      <c r="B218" s="31" t="s">
        <v>49</v>
      </c>
      <c r="C218" s="35" t="s">
        <v>26</v>
      </c>
      <c r="D218" s="36">
        <v>1</v>
      </c>
      <c r="E218" s="3" t="str">
        <f>"ELEV.ARCHIPIELAGO-GRUPO ELECTR"</f>
        <v>ELEV.ARCHIPIELAGO-GRUPO ELECTR</v>
      </c>
      <c r="F218" s="2">
        <v>2591</v>
      </c>
      <c r="G218" s="7">
        <v>3019.97</v>
      </c>
      <c r="H218" s="7">
        <v>3019.97</v>
      </c>
      <c r="I218" s="30" t="s">
        <v>9</v>
      </c>
      <c r="J218" s="31">
        <v>1</v>
      </c>
    </row>
    <row r="219" spans="1:10" x14ac:dyDescent="0.25">
      <c r="A219" s="8">
        <v>45131</v>
      </c>
      <c r="B219" s="31" t="s">
        <v>15</v>
      </c>
      <c r="C219" s="35" t="s">
        <v>22</v>
      </c>
      <c r="D219" s="36">
        <v>30</v>
      </c>
      <c r="E219" s="3" t="str">
        <f>"ENDESA XXI-JUNIO M. LOIS"</f>
        <v>ENDESA XXI-JUNIO M. LOIS</v>
      </c>
      <c r="F219" s="2">
        <v>432</v>
      </c>
      <c r="G219" s="7">
        <v>3475.73</v>
      </c>
      <c r="H219" s="7">
        <v>3475.73</v>
      </c>
      <c r="I219" s="30" t="s">
        <v>9</v>
      </c>
      <c r="J219" s="31">
        <v>1</v>
      </c>
    </row>
    <row r="220" spans="1:10" x14ac:dyDescent="0.25">
      <c r="A220" s="8">
        <v>45131</v>
      </c>
      <c r="B220" s="31" t="s">
        <v>15</v>
      </c>
      <c r="C220" s="35" t="s">
        <v>26</v>
      </c>
      <c r="D220" s="36">
        <v>8</v>
      </c>
      <c r="E220" s="3" t="str">
        <f>"LECICAN-PLATAFORMA ENT.SARDINA"</f>
        <v>LECICAN-PLATAFORMA ENT.SARDINA</v>
      </c>
      <c r="F220" s="2">
        <v>98</v>
      </c>
      <c r="G220" s="7">
        <v>6548.4</v>
      </c>
      <c r="H220" s="7">
        <v>6548.4</v>
      </c>
      <c r="I220" s="30" t="s">
        <v>9</v>
      </c>
      <c r="J220" s="31">
        <v>1</v>
      </c>
    </row>
    <row r="221" spans="1:10" x14ac:dyDescent="0.25">
      <c r="A221" s="8">
        <v>45131</v>
      </c>
      <c r="B221" s="31" t="s">
        <v>52</v>
      </c>
      <c r="C221" s="35" t="s">
        <v>26</v>
      </c>
      <c r="D221" s="36">
        <v>28</v>
      </c>
      <c r="E221" s="3" t="str">
        <f>"JOSE REYES-TEMUDAS 22"</f>
        <v>JOSE REYES-TEMUDAS 22</v>
      </c>
      <c r="F221" s="2">
        <v>64</v>
      </c>
      <c r="G221" s="7">
        <v>12778.8</v>
      </c>
      <c r="H221" s="7">
        <v>12778.8</v>
      </c>
      <c r="I221" s="30" t="s">
        <v>9</v>
      </c>
      <c r="J221" s="31">
        <v>1</v>
      </c>
    </row>
    <row r="222" spans="1:10" x14ac:dyDescent="0.25">
      <c r="A222" s="8">
        <v>45132</v>
      </c>
      <c r="B222" s="31" t="s">
        <v>15</v>
      </c>
      <c r="C222" s="35" t="s">
        <v>26</v>
      </c>
      <c r="D222" s="36">
        <v>1</v>
      </c>
      <c r="E222" s="3" t="str">
        <f>"ELEV.ARCHIPIELAGO-ZONA OCIO"</f>
        <v>ELEV.ARCHIPIELAGO-ZONA OCIO</v>
      </c>
      <c r="F222" s="2">
        <v>921</v>
      </c>
      <c r="G222" s="7">
        <v>366.6</v>
      </c>
      <c r="H222" s="7">
        <v>366.6</v>
      </c>
      <c r="I222" s="30" t="s">
        <v>9</v>
      </c>
      <c r="J222" s="31">
        <v>1</v>
      </c>
    </row>
    <row r="223" spans="1:10" x14ac:dyDescent="0.25">
      <c r="A223" s="8">
        <v>45132</v>
      </c>
      <c r="B223" s="31" t="s">
        <v>15</v>
      </c>
      <c r="C223" s="35" t="s">
        <v>26</v>
      </c>
      <c r="D223" s="36">
        <v>1</v>
      </c>
      <c r="E223" s="3" t="str">
        <f>"ELEV.ARCHIPIELAGO-ZONA OCIO"</f>
        <v>ELEV.ARCHIPIELAGO-ZONA OCIO</v>
      </c>
      <c r="F223" s="2">
        <v>1511</v>
      </c>
      <c r="G223" s="7">
        <v>524.96</v>
      </c>
      <c r="H223" s="7">
        <v>524.96</v>
      </c>
      <c r="I223" s="30" t="s">
        <v>9</v>
      </c>
      <c r="J223" s="31">
        <v>1</v>
      </c>
    </row>
    <row r="224" spans="1:10" x14ac:dyDescent="0.25">
      <c r="A224" s="8">
        <v>45132</v>
      </c>
      <c r="B224" s="31" t="s">
        <v>15</v>
      </c>
      <c r="C224" s="35" t="s">
        <v>26</v>
      </c>
      <c r="D224" s="36">
        <v>1</v>
      </c>
      <c r="E224" s="3" t="str">
        <f>"ELEVAC.ARCHIPIELAGO-CARRETILLA"</f>
        <v>ELEVAC.ARCHIPIELAGO-CARRETILLA</v>
      </c>
      <c r="F224" s="2">
        <v>7343</v>
      </c>
      <c r="G224" s="7">
        <v>532.12</v>
      </c>
      <c r="H224" s="7">
        <v>532.12</v>
      </c>
      <c r="I224" s="30" t="s">
        <v>9</v>
      </c>
      <c r="J224" s="31">
        <v>1</v>
      </c>
    </row>
    <row r="225" spans="1:10" x14ac:dyDescent="0.25">
      <c r="A225" s="8">
        <v>45132</v>
      </c>
      <c r="B225" s="31" t="s">
        <v>12</v>
      </c>
      <c r="C225" s="35" t="s">
        <v>75</v>
      </c>
      <c r="D225" s="36">
        <v>30</v>
      </c>
      <c r="E225" s="3" t="str">
        <f>"MANANTIAL IDEAS-JUNIO PLATAFOR"</f>
        <v>MANANTIAL IDEAS-JUNIO PLATAFOR</v>
      </c>
      <c r="F225" s="2">
        <v>1474</v>
      </c>
      <c r="G225" s="7">
        <v>624.16</v>
      </c>
      <c r="H225" s="7">
        <v>624.16</v>
      </c>
      <c r="I225" s="30" t="s">
        <v>9</v>
      </c>
      <c r="J225" s="31">
        <v>1</v>
      </c>
    </row>
    <row r="226" spans="1:10" x14ac:dyDescent="0.25">
      <c r="A226" s="8">
        <v>45132</v>
      </c>
      <c r="B226" s="31" t="s">
        <v>15</v>
      </c>
      <c r="C226" s="35" t="s">
        <v>26</v>
      </c>
      <c r="D226" s="36">
        <v>1</v>
      </c>
      <c r="E226" s="3" t="str">
        <f>"ELEVAC.ARCHIPIELAGO-CARRETILLA"</f>
        <v>ELEVAC.ARCHIPIELAGO-CARRETILLA</v>
      </c>
      <c r="F226" s="2">
        <v>1613</v>
      </c>
      <c r="G226" s="7">
        <v>964.4</v>
      </c>
      <c r="H226" s="7">
        <v>964.4</v>
      </c>
      <c r="I226" s="30" t="s">
        <v>9</v>
      </c>
      <c r="J226" s="31">
        <v>1</v>
      </c>
    </row>
    <row r="227" spans="1:10" x14ac:dyDescent="0.25">
      <c r="A227" s="8">
        <v>45132</v>
      </c>
      <c r="B227" s="31" t="s">
        <v>15</v>
      </c>
      <c r="C227" s="35" t="s">
        <v>26</v>
      </c>
      <c r="D227" s="36">
        <v>1</v>
      </c>
      <c r="E227" s="3" t="str">
        <f>"GRUAS LP-M.LOIS/PQ.STA.CATALIN"</f>
        <v>GRUAS LP-M.LOIS/PQ.STA.CATALIN</v>
      </c>
      <c r="F227" s="2">
        <v>2300171</v>
      </c>
      <c r="G227" s="7">
        <v>1112.4000000000001</v>
      </c>
      <c r="H227" s="7">
        <v>1112.4000000000001</v>
      </c>
      <c r="I227" s="30" t="s">
        <v>9</v>
      </c>
      <c r="J227" s="31">
        <v>1</v>
      </c>
    </row>
    <row r="228" spans="1:10" x14ac:dyDescent="0.25">
      <c r="A228" s="8">
        <v>45132</v>
      </c>
      <c r="B228" s="31" t="s">
        <v>15</v>
      </c>
      <c r="C228" s="35" t="s">
        <v>26</v>
      </c>
      <c r="D228" s="36">
        <v>1</v>
      </c>
      <c r="E228" s="3" t="str">
        <f>"ELEV.ARCHIPIELAGO-CARRETILLA"</f>
        <v>ELEV.ARCHIPIELAGO-CARRETILLA</v>
      </c>
      <c r="F228" s="2">
        <v>1135</v>
      </c>
      <c r="G228" s="7">
        <v>1249.76</v>
      </c>
      <c r="H228" s="7">
        <v>1249.76</v>
      </c>
      <c r="I228" s="30" t="s">
        <v>9</v>
      </c>
      <c r="J228" s="31">
        <v>1</v>
      </c>
    </row>
    <row r="229" spans="1:10" x14ac:dyDescent="0.25">
      <c r="A229" s="8">
        <v>45132</v>
      </c>
      <c r="B229" s="31" t="s">
        <v>15</v>
      </c>
      <c r="C229" s="35" t="s">
        <v>26</v>
      </c>
      <c r="D229" s="36">
        <v>1</v>
      </c>
      <c r="E229" s="3" t="str">
        <f>"ELEVAC.ARCHIPIELAGO-CARRETILLA"</f>
        <v>ELEVAC.ARCHIPIELAGO-CARRETILLA</v>
      </c>
      <c r="F229" s="2">
        <v>487</v>
      </c>
      <c r="G229" s="7">
        <v>1322.52</v>
      </c>
      <c r="H229" s="7">
        <v>1322.52</v>
      </c>
      <c r="I229" s="30" t="s">
        <v>9</v>
      </c>
      <c r="J229" s="31">
        <v>1</v>
      </c>
    </row>
    <row r="230" spans="1:10" x14ac:dyDescent="0.25">
      <c r="A230" s="8">
        <v>45132</v>
      </c>
      <c r="B230" s="31" t="s">
        <v>15</v>
      </c>
      <c r="C230" s="35" t="s">
        <v>70</v>
      </c>
      <c r="D230" s="36">
        <v>20</v>
      </c>
      <c r="E230" s="3" t="str">
        <f>"STARS BALCONY-MAQUILLAJ/PELUQU"</f>
        <v>STARS BALCONY-MAQUILLAJ/PELUQU</v>
      </c>
      <c r="F230" s="2">
        <v>23321</v>
      </c>
      <c r="G230" s="7">
        <v>1440</v>
      </c>
      <c r="H230" s="7">
        <v>1440</v>
      </c>
      <c r="I230" s="30" t="s">
        <v>9</v>
      </c>
      <c r="J230" s="31">
        <v>1</v>
      </c>
    </row>
    <row r="231" spans="1:10" x14ac:dyDescent="0.25">
      <c r="A231" s="8">
        <v>45132</v>
      </c>
      <c r="B231" s="31" t="s">
        <v>15</v>
      </c>
      <c r="C231" s="35" t="s">
        <v>70</v>
      </c>
      <c r="D231" s="36">
        <v>1</v>
      </c>
      <c r="E231" s="3" t="str">
        <f>"EL PARAGUAS EVENTS-CABALGATAS"</f>
        <v>EL PARAGUAS EVENTS-CABALGATAS</v>
      </c>
      <c r="F231" s="2">
        <v>545</v>
      </c>
      <c r="G231" s="7">
        <v>1802.95</v>
      </c>
      <c r="H231" s="7">
        <v>1802.95</v>
      </c>
      <c r="I231" s="30" t="s">
        <v>9</v>
      </c>
      <c r="J231" s="31">
        <v>1</v>
      </c>
    </row>
    <row r="232" spans="1:10" x14ac:dyDescent="0.25">
      <c r="A232" s="8">
        <v>45132</v>
      </c>
      <c r="B232" s="31" t="s">
        <v>15</v>
      </c>
      <c r="C232" s="35" t="s">
        <v>26</v>
      </c>
      <c r="D232" s="36">
        <v>1</v>
      </c>
      <c r="E232" s="3" t="str">
        <f>"ELEV.ARCHIPIELAGO-SORTEO"</f>
        <v>ELEV.ARCHIPIELAGO-SORTEO</v>
      </c>
      <c r="F232" s="2">
        <v>1136</v>
      </c>
      <c r="G232" s="7">
        <v>2627.13</v>
      </c>
      <c r="H232" s="7">
        <v>2627.13</v>
      </c>
      <c r="I232" s="30" t="s">
        <v>9</v>
      </c>
      <c r="J232" s="31">
        <v>1</v>
      </c>
    </row>
    <row r="233" spans="1:10" x14ac:dyDescent="0.25">
      <c r="A233" s="8">
        <v>45132</v>
      </c>
      <c r="B233" s="31" t="s">
        <v>12</v>
      </c>
      <c r="C233" s="35" t="s">
        <v>45</v>
      </c>
      <c r="D233" s="36">
        <v>30</v>
      </c>
      <c r="E233" s="3" t="str">
        <f>"SERV.CANSERVI-JUNIO LIMPIEZA"</f>
        <v>SERV.CANSERVI-JUNIO LIMPIEZA</v>
      </c>
      <c r="F233" s="2">
        <v>131</v>
      </c>
      <c r="G233" s="7">
        <v>2706.46</v>
      </c>
      <c r="H233" s="7">
        <v>2706.46</v>
      </c>
      <c r="I233" s="30" t="s">
        <v>9</v>
      </c>
      <c r="J233" s="31">
        <v>1</v>
      </c>
    </row>
    <row r="234" spans="1:10" x14ac:dyDescent="0.25">
      <c r="A234" s="8">
        <v>45132</v>
      </c>
      <c r="B234" s="31" t="s">
        <v>15</v>
      </c>
      <c r="C234" s="35" t="s">
        <v>70</v>
      </c>
      <c r="D234" s="36">
        <v>1</v>
      </c>
      <c r="E234" s="3" t="str">
        <f>"EL PARAGUAS EVENTS-CABALGATAS"</f>
        <v>EL PARAGUAS EVENTS-CABALGATAS</v>
      </c>
      <c r="F234" s="2">
        <v>546</v>
      </c>
      <c r="G234" s="7">
        <v>3236.75</v>
      </c>
      <c r="H234" s="7">
        <v>3236.75</v>
      </c>
      <c r="I234" s="30" t="s">
        <v>9</v>
      </c>
      <c r="J234" s="31">
        <v>1</v>
      </c>
    </row>
    <row r="235" spans="1:10" x14ac:dyDescent="0.25">
      <c r="A235" s="8">
        <v>45132</v>
      </c>
      <c r="B235" s="31" t="s">
        <v>15</v>
      </c>
      <c r="C235" s="35" t="s">
        <v>26</v>
      </c>
      <c r="D235" s="36">
        <v>7</v>
      </c>
      <c r="E235" s="3" t="str">
        <f>"JONAY D.DIAZ-PLIEGOS TECNICOS"</f>
        <v>JONAY D.DIAZ-PLIEGOS TECNICOS</v>
      </c>
      <c r="F235" s="2">
        <v>11</v>
      </c>
      <c r="G235" s="7">
        <v>4692</v>
      </c>
      <c r="H235" s="7">
        <v>4692</v>
      </c>
      <c r="I235" s="30" t="s">
        <v>9</v>
      </c>
      <c r="J235" s="31">
        <v>1</v>
      </c>
    </row>
    <row r="236" spans="1:10" x14ac:dyDescent="0.25">
      <c r="A236" s="8">
        <v>45132</v>
      </c>
      <c r="B236" s="31" t="s">
        <v>15</v>
      </c>
      <c r="C236" s="35" t="s">
        <v>26</v>
      </c>
      <c r="D236" s="36">
        <v>30</v>
      </c>
      <c r="E236" s="3" t="str">
        <f>"JONAY D.DIAZ-ASISTENCIA DIRECC"</f>
        <v>JONAY D.DIAZ-ASISTENCIA DIRECC</v>
      </c>
      <c r="F236" s="2">
        <v>13</v>
      </c>
      <c r="G236" s="7">
        <v>4737.54</v>
      </c>
      <c r="H236" s="7">
        <v>4737.54</v>
      </c>
      <c r="I236" s="30" t="s">
        <v>9</v>
      </c>
      <c r="J236" s="31">
        <v>1</v>
      </c>
    </row>
    <row r="237" spans="1:10" x14ac:dyDescent="0.25">
      <c r="A237" s="8">
        <v>45132</v>
      </c>
      <c r="B237" s="31" t="s">
        <v>15</v>
      </c>
      <c r="C237" s="35" t="s">
        <v>23</v>
      </c>
      <c r="D237" s="36">
        <v>3</v>
      </c>
      <c r="E237" s="3" t="str">
        <f>"PROSEGUR-VIGILANTE EXPLOSIVOS"</f>
        <v>PROSEGUR-VIGILANTE EXPLOSIVOS</v>
      </c>
      <c r="F237" s="2">
        <v>380077</v>
      </c>
      <c r="G237" s="7">
        <v>6129.82</v>
      </c>
      <c r="H237" s="7">
        <v>6129.82</v>
      </c>
      <c r="I237" s="30" t="s">
        <v>9</v>
      </c>
      <c r="J237" s="31">
        <v>1</v>
      </c>
    </row>
    <row r="238" spans="1:10" x14ac:dyDescent="0.25">
      <c r="A238" s="8">
        <v>45132</v>
      </c>
      <c r="B238" s="31" t="s">
        <v>15</v>
      </c>
      <c r="C238" s="35" t="s">
        <v>26</v>
      </c>
      <c r="D238" s="36">
        <v>1</v>
      </c>
      <c r="E238" s="3" t="str">
        <f>"GRUAS LP-GRUA PQ.STA.CATALINA"</f>
        <v>GRUAS LP-GRUA PQ.STA.CATALINA</v>
      </c>
      <c r="F238" s="2">
        <v>2300333</v>
      </c>
      <c r="G238" s="7">
        <v>6180</v>
      </c>
      <c r="H238" s="7">
        <v>6180</v>
      </c>
      <c r="I238" s="30" t="s">
        <v>9</v>
      </c>
      <c r="J238" s="31">
        <v>1</v>
      </c>
    </row>
    <row r="239" spans="1:10" x14ac:dyDescent="0.25">
      <c r="A239" s="8">
        <v>45132</v>
      </c>
      <c r="B239" s="31" t="s">
        <v>15</v>
      </c>
      <c r="C239" s="35" t="s">
        <v>26</v>
      </c>
      <c r="D239" s="36">
        <v>1</v>
      </c>
      <c r="E239" s="3" t="str">
        <f>"GRUAS LP-CABALGATA"</f>
        <v>GRUAS LP-CABALGATA</v>
      </c>
      <c r="F239" s="2">
        <v>2300678</v>
      </c>
      <c r="G239" s="7">
        <v>6540.5</v>
      </c>
      <c r="H239" s="7">
        <v>6540.5</v>
      </c>
      <c r="I239" s="30" t="s">
        <v>9</v>
      </c>
      <c r="J239" s="31">
        <v>1</v>
      </c>
    </row>
    <row r="240" spans="1:10" x14ac:dyDescent="0.25">
      <c r="A240" s="8">
        <v>45132</v>
      </c>
      <c r="B240" s="31" t="s">
        <v>15</v>
      </c>
      <c r="C240" s="35" t="s">
        <v>26</v>
      </c>
      <c r="D240" s="36">
        <v>30</v>
      </c>
      <c r="E240" s="3" t="str">
        <f>"JONAY D.DIAZ-OPERADOR GALAS"</f>
        <v>JONAY D.DIAZ-OPERADOR GALAS</v>
      </c>
      <c r="F240" s="2">
        <v>12</v>
      </c>
      <c r="G240" s="7">
        <v>10810</v>
      </c>
      <c r="H240" s="7">
        <v>10810</v>
      </c>
      <c r="I240" s="30" t="s">
        <v>9</v>
      </c>
      <c r="J240" s="31">
        <v>1</v>
      </c>
    </row>
    <row r="241" spans="1:10" x14ac:dyDescent="0.25">
      <c r="A241" s="8">
        <v>45132</v>
      </c>
      <c r="B241" s="31" t="s">
        <v>12</v>
      </c>
      <c r="C241" s="35" t="s">
        <v>40</v>
      </c>
      <c r="D241" s="36">
        <v>9</v>
      </c>
      <c r="E241" s="3" t="str">
        <f>"TAQUILLA CANARIA-JUNIO AZAFATA"</f>
        <v>TAQUILLA CANARIA-JUNIO AZAFATA</v>
      </c>
      <c r="F241" s="2">
        <v>45</v>
      </c>
      <c r="G241" s="7">
        <v>11405.13</v>
      </c>
      <c r="H241" s="7">
        <v>11405.13</v>
      </c>
      <c r="I241" s="30" t="s">
        <v>9</v>
      </c>
      <c r="J241" s="31">
        <v>1</v>
      </c>
    </row>
    <row r="242" spans="1:10" x14ac:dyDescent="0.25">
      <c r="A242" s="8">
        <v>45132</v>
      </c>
      <c r="B242" s="31" t="s">
        <v>15</v>
      </c>
      <c r="C242" s="35" t="s">
        <v>70</v>
      </c>
      <c r="D242" s="36">
        <v>1</v>
      </c>
      <c r="E242" s="3" t="str">
        <f>"EL PARAGUAS EVENTS-CABALGATAS"</f>
        <v>EL PARAGUAS EVENTS-CABALGATAS</v>
      </c>
      <c r="F242" s="2">
        <v>544</v>
      </c>
      <c r="G242" s="7">
        <v>12385.25</v>
      </c>
      <c r="H242" s="7">
        <v>12385.25</v>
      </c>
      <c r="I242" s="30" t="s">
        <v>9</v>
      </c>
      <c r="J242" s="31">
        <v>1</v>
      </c>
    </row>
    <row r="243" spans="1:10" x14ac:dyDescent="0.25">
      <c r="A243" s="8">
        <v>45132</v>
      </c>
      <c r="B243" s="31" t="s">
        <v>12</v>
      </c>
      <c r="C243" s="35" t="s">
        <v>23</v>
      </c>
      <c r="D243" s="36">
        <v>30</v>
      </c>
      <c r="E243" s="3" t="str">
        <f>"TOTAL SEC.MANAG-JUNIO VIGILANC"</f>
        <v>TOTAL SEC.MANAG-JUNIO VIGILANC</v>
      </c>
      <c r="F243" s="2">
        <v>278</v>
      </c>
      <c r="G243" s="7">
        <v>12804.29</v>
      </c>
      <c r="H243" s="7">
        <v>12804.29</v>
      </c>
      <c r="I243" s="30" t="s">
        <v>9</v>
      </c>
      <c r="J243" s="31">
        <v>1</v>
      </c>
    </row>
    <row r="244" spans="1:10" x14ac:dyDescent="0.25">
      <c r="A244" s="8">
        <v>45132</v>
      </c>
      <c r="B244" s="31" t="s">
        <v>15</v>
      </c>
      <c r="C244" s="35" t="s">
        <v>26</v>
      </c>
      <c r="D244" s="36">
        <v>1</v>
      </c>
      <c r="E244" s="3" t="str">
        <f>"ESTUD.SERGIO MACIAS-ESCENOGRAF"</f>
        <v>ESTUD.SERGIO MACIAS-ESCENOGRAF</v>
      </c>
      <c r="F244" s="2">
        <v>16</v>
      </c>
      <c r="G244" s="7">
        <v>15000</v>
      </c>
      <c r="H244" s="7">
        <v>15000</v>
      </c>
      <c r="I244" s="30" t="s">
        <v>9</v>
      </c>
      <c r="J244" s="31">
        <v>1</v>
      </c>
    </row>
    <row r="245" spans="1:10" x14ac:dyDescent="0.25">
      <c r="A245" s="8">
        <v>45132</v>
      </c>
      <c r="B245" s="31" t="s">
        <v>15</v>
      </c>
      <c r="C245" s="35" t="s">
        <v>26</v>
      </c>
      <c r="D245" s="36">
        <v>1</v>
      </c>
      <c r="E245" s="3" t="str">
        <f>"ESTUD.SERGIO MACIAS-ESCENOGRAF"</f>
        <v>ESTUD.SERGIO MACIAS-ESCENOGRAF</v>
      </c>
      <c r="F245" s="2">
        <v>17</v>
      </c>
      <c r="G245" s="7">
        <v>15000</v>
      </c>
      <c r="H245" s="7">
        <v>15000</v>
      </c>
      <c r="I245" s="30" t="s">
        <v>9</v>
      </c>
      <c r="J245" s="31">
        <v>1</v>
      </c>
    </row>
    <row r="246" spans="1:10" x14ac:dyDescent="0.25">
      <c r="A246" s="8">
        <v>45133</v>
      </c>
      <c r="B246" s="31" t="s">
        <v>12</v>
      </c>
      <c r="C246" s="35" t="s">
        <v>20</v>
      </c>
      <c r="D246" s="36">
        <v>30</v>
      </c>
      <c r="E246" s="3" t="str">
        <f>"COSME ORTIZ-ENDESA JUN/JUL ASC"</f>
        <v>COSME ORTIZ-ENDESA JUN/JUL ASC</v>
      </c>
      <c r="F246" s="2">
        <v>49698</v>
      </c>
      <c r="G246" s="7">
        <v>14.45</v>
      </c>
      <c r="H246" s="7">
        <v>14.45</v>
      </c>
      <c r="I246" s="30" t="s">
        <v>9</v>
      </c>
      <c r="J246" s="31">
        <v>1</v>
      </c>
    </row>
    <row r="247" spans="1:10" x14ac:dyDescent="0.25">
      <c r="A247" s="8">
        <v>45133</v>
      </c>
      <c r="B247" s="31" t="s">
        <v>15</v>
      </c>
      <c r="C247" s="35" t="s">
        <v>71</v>
      </c>
      <c r="D247" s="36">
        <v>1</v>
      </c>
      <c r="E247" s="3" t="str">
        <f>"GALAXYS - VARIOS"</f>
        <v>GALAXYS - VARIOS</v>
      </c>
      <c r="F247" s="2">
        <v>645</v>
      </c>
      <c r="G247" s="7">
        <v>80.680000000000007</v>
      </c>
      <c r="H247" s="7">
        <v>80.680000000000007</v>
      </c>
      <c r="I247" s="30" t="s">
        <v>9</v>
      </c>
      <c r="J247" s="31">
        <v>1</v>
      </c>
    </row>
    <row r="248" spans="1:10" x14ac:dyDescent="0.25">
      <c r="A248" s="8">
        <v>45133</v>
      </c>
      <c r="B248" s="31" t="s">
        <v>13</v>
      </c>
      <c r="C248" s="35" t="s">
        <v>27</v>
      </c>
      <c r="D248" s="36">
        <v>1</v>
      </c>
      <c r="E248" s="3" t="str">
        <f>"AMAYA BLANCO - OLA DE LETRAS"</f>
        <v>AMAYA BLANCO - OLA DE LETRAS</v>
      </c>
      <c r="F248" s="2">
        <v>5</v>
      </c>
      <c r="G248" s="7">
        <v>127.5</v>
      </c>
      <c r="H248" s="7">
        <v>127.5</v>
      </c>
      <c r="I248" s="30" t="s">
        <v>9</v>
      </c>
      <c r="J248" s="31">
        <v>1</v>
      </c>
    </row>
    <row r="249" spans="1:10" x14ac:dyDescent="0.25">
      <c r="A249" s="8">
        <v>45133</v>
      </c>
      <c r="B249" s="31" t="s">
        <v>12</v>
      </c>
      <c r="C249" s="35" t="s">
        <v>68</v>
      </c>
      <c r="D249" s="36">
        <v>30</v>
      </c>
      <c r="E249" s="3" t="str">
        <f>"OLIVER GLZ - JULIO MANTENIMIEN"</f>
        <v>OLIVER GLZ - JULIO MANTENIMIEN</v>
      </c>
      <c r="F249" s="2">
        <v>121</v>
      </c>
      <c r="G249" s="7">
        <v>410.16</v>
      </c>
      <c r="H249" s="7">
        <v>410.16</v>
      </c>
      <c r="I249" s="30" t="s">
        <v>9</v>
      </c>
      <c r="J249" s="31">
        <v>1</v>
      </c>
    </row>
    <row r="250" spans="1:10" x14ac:dyDescent="0.25">
      <c r="A250" s="8">
        <v>45133</v>
      </c>
      <c r="B250" s="31" t="s">
        <v>18</v>
      </c>
      <c r="C250" s="35" t="s">
        <v>57</v>
      </c>
      <c r="D250" s="36">
        <v>1</v>
      </c>
      <c r="E250" s="3" t="str">
        <f>"OLIVER GLEZ - MATERIAL INFORMA"</f>
        <v>OLIVER GLEZ - MATERIAL INFORMA</v>
      </c>
      <c r="F250" s="2">
        <v>123</v>
      </c>
      <c r="G250" s="7">
        <v>665.54</v>
      </c>
      <c r="H250" s="7">
        <v>665.54</v>
      </c>
      <c r="I250" s="30" t="s">
        <v>9</v>
      </c>
      <c r="J250" s="31">
        <v>1</v>
      </c>
    </row>
    <row r="251" spans="1:10" x14ac:dyDescent="0.25">
      <c r="A251" s="8">
        <v>45133</v>
      </c>
      <c r="B251" s="31" t="s">
        <v>11</v>
      </c>
      <c r="C251" s="35" t="s">
        <v>68</v>
      </c>
      <c r="D251" s="36">
        <v>30</v>
      </c>
      <c r="E251" s="3" t="str">
        <f>"OLVIER GLEZ - JULIO MANT. EQUI"</f>
        <v>OLVIER GLEZ - JULIO MANT. EQUI</v>
      </c>
      <c r="F251" s="2">
        <v>119</v>
      </c>
      <c r="G251" s="7">
        <v>1070</v>
      </c>
      <c r="H251" s="7">
        <v>1070</v>
      </c>
      <c r="I251" s="30" t="s">
        <v>9</v>
      </c>
      <c r="J251" s="31">
        <v>1</v>
      </c>
    </row>
    <row r="252" spans="1:10" x14ac:dyDescent="0.25">
      <c r="A252" s="8">
        <v>45133</v>
      </c>
      <c r="B252" s="31" t="s">
        <v>13</v>
      </c>
      <c r="C252" s="35" t="s">
        <v>68</v>
      </c>
      <c r="D252" s="36">
        <v>30</v>
      </c>
      <c r="E252" s="3" t="str">
        <f>"OLIVER GLEZ - JULIO MANT. EQUI"</f>
        <v>OLIVER GLEZ - JULIO MANT. EQUI</v>
      </c>
      <c r="F252" s="2">
        <v>120</v>
      </c>
      <c r="G252" s="7">
        <v>1391</v>
      </c>
      <c r="H252" s="7">
        <v>1391</v>
      </c>
      <c r="I252" s="30" t="s">
        <v>9</v>
      </c>
      <c r="J252" s="31">
        <v>1</v>
      </c>
    </row>
    <row r="253" spans="1:10" x14ac:dyDescent="0.25">
      <c r="A253" s="8">
        <v>45133</v>
      </c>
      <c r="B253" s="31" t="s">
        <v>11</v>
      </c>
      <c r="C253" s="35" t="s">
        <v>57</v>
      </c>
      <c r="D253" s="36">
        <v>1</v>
      </c>
      <c r="E253" s="3" t="str">
        <f>"OLIVER GLEZ - MATERIAL INFOR."</f>
        <v>OLIVER GLEZ - MATERIAL INFOR.</v>
      </c>
      <c r="F253" s="2">
        <v>122</v>
      </c>
      <c r="G253" s="7">
        <v>1946.33</v>
      </c>
      <c r="H253" s="7">
        <v>1946.33</v>
      </c>
      <c r="I253" s="30" t="s">
        <v>9</v>
      </c>
      <c r="J253" s="31">
        <v>1</v>
      </c>
    </row>
    <row r="254" spans="1:10" x14ac:dyDescent="0.25">
      <c r="A254" s="8">
        <v>45133</v>
      </c>
      <c r="B254" s="31" t="s">
        <v>51</v>
      </c>
      <c r="C254" s="35" t="s">
        <v>29</v>
      </c>
      <c r="D254" s="36">
        <v>4</v>
      </c>
      <c r="E254" s="3" t="str">
        <f>"WOMAD  - WORLD OF WORDS BUDGET"</f>
        <v>WOMAD  - WORLD OF WORDS BUDGET</v>
      </c>
      <c r="F254" s="2">
        <v>52</v>
      </c>
      <c r="G254" s="7">
        <v>4132.7</v>
      </c>
      <c r="H254" s="7">
        <v>4132.7</v>
      </c>
      <c r="I254" s="30" t="s">
        <v>9</v>
      </c>
      <c r="J254" s="31">
        <v>1</v>
      </c>
    </row>
    <row r="255" spans="1:10" x14ac:dyDescent="0.25">
      <c r="A255" s="8">
        <v>45133</v>
      </c>
      <c r="B255" s="31" t="s">
        <v>52</v>
      </c>
      <c r="C255" s="35" t="s">
        <v>26</v>
      </c>
      <c r="D255" s="36">
        <v>30</v>
      </c>
      <c r="E255" s="3" t="str">
        <f>"RGB - RESP. TECN"</f>
        <v>RGB - RESP. TECN</v>
      </c>
      <c r="F255" s="2">
        <v>514</v>
      </c>
      <c r="G255" s="7">
        <v>4280</v>
      </c>
      <c r="H255" s="7">
        <v>4280</v>
      </c>
      <c r="I255" s="30" t="s">
        <v>9</v>
      </c>
      <c r="J255" s="31">
        <v>1</v>
      </c>
    </row>
    <row r="256" spans="1:10" x14ac:dyDescent="0.25">
      <c r="A256" s="8">
        <v>45134</v>
      </c>
      <c r="B256" s="31" t="s">
        <v>50</v>
      </c>
      <c r="C256" s="35" t="s">
        <v>76</v>
      </c>
      <c r="D256" s="36">
        <v>12</v>
      </c>
      <c r="E256" s="3" t="str">
        <f>"REST. GRAN CANARIA - BONOS COM"</f>
        <v>REST. GRAN CANARIA - BONOS COM</v>
      </c>
      <c r="F256" s="2">
        <v>1</v>
      </c>
      <c r="G256" s="7">
        <v>12</v>
      </c>
      <c r="H256" s="7">
        <v>12</v>
      </c>
      <c r="I256" s="30" t="s">
        <v>9</v>
      </c>
      <c r="J256" s="31">
        <v>1</v>
      </c>
    </row>
    <row r="257" spans="1:10" x14ac:dyDescent="0.25">
      <c r="A257" s="8">
        <v>45134</v>
      </c>
      <c r="B257" s="31" t="s">
        <v>50</v>
      </c>
      <c r="C257" s="35" t="s">
        <v>76</v>
      </c>
      <c r="D257" s="36">
        <v>12</v>
      </c>
      <c r="E257" s="3" t="str">
        <f>"GASTRONOMIA SON - BONOS COMIDA"</f>
        <v>GASTRONOMIA SON - BONOS COMIDA</v>
      </c>
      <c r="F257" s="2">
        <v>5</v>
      </c>
      <c r="G257" s="7">
        <v>42</v>
      </c>
      <c r="H257" s="7">
        <v>42</v>
      </c>
      <c r="I257" s="30" t="s">
        <v>9</v>
      </c>
      <c r="J257" s="31">
        <v>1</v>
      </c>
    </row>
    <row r="258" spans="1:10" x14ac:dyDescent="0.25">
      <c r="A258" s="8">
        <v>45134</v>
      </c>
      <c r="B258" s="31" t="s">
        <v>12</v>
      </c>
      <c r="C258" s="35" t="s">
        <v>20</v>
      </c>
      <c r="D258" s="36">
        <v>30</v>
      </c>
      <c r="E258" s="3" t="str">
        <f>"COSME ORTIZ-ENDESA JUN/JUL LO"</f>
        <v>COSME ORTIZ-ENDESA JUN/JUL LO</v>
      </c>
      <c r="F258" s="2">
        <v>53879</v>
      </c>
      <c r="G258" s="7">
        <v>42.44</v>
      </c>
      <c r="H258" s="7">
        <v>42.44</v>
      </c>
      <c r="I258" s="30" t="s">
        <v>9</v>
      </c>
      <c r="J258" s="31">
        <v>1</v>
      </c>
    </row>
    <row r="259" spans="1:10" x14ac:dyDescent="0.25">
      <c r="A259" s="8">
        <v>45134</v>
      </c>
      <c r="B259" s="31" t="s">
        <v>50</v>
      </c>
      <c r="C259" s="35" t="s">
        <v>76</v>
      </c>
      <c r="D259" s="36">
        <v>12</v>
      </c>
      <c r="E259" s="3" t="str">
        <f>"LIDER CAF. - BONOS COMIDA"</f>
        <v>LIDER CAF. - BONOS COMIDA</v>
      </c>
      <c r="F259" s="2">
        <v>7</v>
      </c>
      <c r="G259" s="7">
        <v>70.62</v>
      </c>
      <c r="H259" s="7">
        <v>70.62</v>
      </c>
      <c r="I259" s="30" t="s">
        <v>9</v>
      </c>
      <c r="J259" s="31">
        <v>1</v>
      </c>
    </row>
    <row r="260" spans="1:10" x14ac:dyDescent="0.25">
      <c r="A260" s="8">
        <v>45134</v>
      </c>
      <c r="B260" s="31" t="s">
        <v>50</v>
      </c>
      <c r="C260" s="35" t="s">
        <v>76</v>
      </c>
      <c r="D260" s="36">
        <v>12</v>
      </c>
      <c r="E260" s="3" t="str">
        <f>"CANARY FOOD - BONOS CINE"</f>
        <v>CANARY FOOD - BONOS CINE</v>
      </c>
      <c r="F260" s="2">
        <v>1</v>
      </c>
      <c r="G260" s="7">
        <v>93</v>
      </c>
      <c r="H260" s="7">
        <v>93</v>
      </c>
      <c r="I260" s="30" t="s">
        <v>9</v>
      </c>
      <c r="J260" s="31">
        <v>1</v>
      </c>
    </row>
    <row r="261" spans="1:10" x14ac:dyDescent="0.25">
      <c r="A261" s="8">
        <v>45134</v>
      </c>
      <c r="B261" s="31" t="s">
        <v>50</v>
      </c>
      <c r="C261" s="35" t="s">
        <v>76</v>
      </c>
      <c r="D261" s="36">
        <v>12</v>
      </c>
      <c r="E261" s="3" t="str">
        <f>"MASA PADRE - BONOS COMIDA"</f>
        <v>MASA PADRE - BONOS COMIDA</v>
      </c>
      <c r="F261" s="2">
        <v>3</v>
      </c>
      <c r="G261" s="7">
        <v>129</v>
      </c>
      <c r="H261" s="7">
        <v>129</v>
      </c>
      <c r="I261" s="30" t="s">
        <v>9</v>
      </c>
      <c r="J261" s="31">
        <v>1</v>
      </c>
    </row>
    <row r="262" spans="1:10" x14ac:dyDescent="0.25">
      <c r="A262" s="8">
        <v>45134</v>
      </c>
      <c r="B262" s="31" t="s">
        <v>50</v>
      </c>
      <c r="C262" s="35" t="s">
        <v>76</v>
      </c>
      <c r="D262" s="36">
        <v>12</v>
      </c>
      <c r="E262" s="3" t="str">
        <f>"GRUPO ORIGEN - BONOS COMIDA"</f>
        <v>GRUPO ORIGEN - BONOS COMIDA</v>
      </c>
      <c r="F262" s="2">
        <v>49</v>
      </c>
      <c r="G262" s="7">
        <v>275</v>
      </c>
      <c r="H262" s="7">
        <v>275</v>
      </c>
      <c r="I262" s="30" t="s">
        <v>9</v>
      </c>
      <c r="J262" s="31">
        <v>1</v>
      </c>
    </row>
    <row r="263" spans="1:10" x14ac:dyDescent="0.25">
      <c r="A263" s="8">
        <v>45134</v>
      </c>
      <c r="B263" s="31" t="s">
        <v>13</v>
      </c>
      <c r="C263" s="35" t="s">
        <v>27</v>
      </c>
      <c r="D263" s="36">
        <v>1</v>
      </c>
      <c r="E263" s="3" t="str">
        <f>"MARIA BUENADICHA - OLA DE LETR"</f>
        <v>MARIA BUENADICHA - OLA DE LETR</v>
      </c>
      <c r="F263" s="2">
        <v>20</v>
      </c>
      <c r="G263" s="7">
        <v>340</v>
      </c>
      <c r="H263" s="7">
        <v>340</v>
      </c>
      <c r="I263" s="30" t="s">
        <v>9</v>
      </c>
      <c r="J263" s="31">
        <v>1</v>
      </c>
    </row>
    <row r="264" spans="1:10" x14ac:dyDescent="0.25">
      <c r="A264" s="8">
        <v>45134</v>
      </c>
      <c r="B264" s="31" t="s">
        <v>50</v>
      </c>
      <c r="C264" s="35" t="s">
        <v>46</v>
      </c>
      <c r="D264" s="36">
        <v>5</v>
      </c>
      <c r="E264" s="3" t="str">
        <f>"LUKO CATERING- PRODUCC.MECAS"</f>
        <v>LUKO CATERING- PRODUCC.MECAS</v>
      </c>
      <c r="F264" s="2">
        <v>14</v>
      </c>
      <c r="G264" s="7">
        <v>535</v>
      </c>
      <c r="H264" s="7">
        <v>535</v>
      </c>
      <c r="I264" s="30" t="s">
        <v>9</v>
      </c>
      <c r="J264" s="31">
        <v>1</v>
      </c>
    </row>
    <row r="265" spans="1:10" x14ac:dyDescent="0.25">
      <c r="A265" s="8">
        <v>45134</v>
      </c>
      <c r="B265" s="31" t="s">
        <v>50</v>
      </c>
      <c r="C265" s="35" t="s">
        <v>76</v>
      </c>
      <c r="D265" s="36">
        <v>12</v>
      </c>
      <c r="E265" s="3" t="str">
        <f>"PIZQUEO- COMIDAS FESTIVAL"</f>
        <v>PIZQUEO- COMIDAS FESTIVAL</v>
      </c>
      <c r="F265" s="2">
        <v>1</v>
      </c>
      <c r="G265" s="7">
        <v>675</v>
      </c>
      <c r="H265" s="7">
        <v>675</v>
      </c>
      <c r="I265" s="30" t="s">
        <v>9</v>
      </c>
      <c r="J265" s="31">
        <v>1</v>
      </c>
    </row>
    <row r="266" spans="1:10" x14ac:dyDescent="0.25">
      <c r="A266" s="8">
        <v>45134</v>
      </c>
      <c r="B266" s="31" t="s">
        <v>50</v>
      </c>
      <c r="C266" s="35" t="s">
        <v>76</v>
      </c>
      <c r="D266" s="36">
        <v>12</v>
      </c>
      <c r="E266" s="3" t="str">
        <f>"COLECTIVO PALERMO-COMIDAS"</f>
        <v>COLECTIVO PALERMO-COMIDAS</v>
      </c>
      <c r="F266" s="2">
        <v>296</v>
      </c>
      <c r="G266" s="7">
        <v>883</v>
      </c>
      <c r="H266" s="7">
        <v>883</v>
      </c>
      <c r="I266" s="30" t="s">
        <v>9</v>
      </c>
      <c r="J266" s="31">
        <v>1</v>
      </c>
    </row>
    <row r="267" spans="1:10" x14ac:dyDescent="0.25">
      <c r="A267" s="8">
        <v>45134</v>
      </c>
      <c r="B267" s="31" t="s">
        <v>50</v>
      </c>
      <c r="C267" s="35" t="s">
        <v>76</v>
      </c>
      <c r="D267" s="36">
        <v>12</v>
      </c>
      <c r="E267" s="3" t="str">
        <f>"KIMBOO MANDU - BONOS COMIDA"</f>
        <v>KIMBOO MANDU - BONOS COMIDA</v>
      </c>
      <c r="F267" s="2">
        <v>6042023</v>
      </c>
      <c r="G267" s="7">
        <v>1068</v>
      </c>
      <c r="H267" s="7">
        <v>1068</v>
      </c>
      <c r="I267" s="30" t="s">
        <v>9</v>
      </c>
      <c r="J267" s="31">
        <v>1</v>
      </c>
    </row>
    <row r="268" spans="1:10" x14ac:dyDescent="0.25">
      <c r="A268" s="8">
        <v>45134</v>
      </c>
      <c r="B268" s="31" t="s">
        <v>50</v>
      </c>
      <c r="C268" s="35" t="s">
        <v>76</v>
      </c>
      <c r="D268" s="36">
        <v>12</v>
      </c>
      <c r="E268" s="3" t="str">
        <f>"FEYMON RESTAURACION-COMIDAS"</f>
        <v>FEYMON RESTAURACION-COMIDAS</v>
      </c>
      <c r="F268" s="2">
        <v>3</v>
      </c>
      <c r="G268" s="7">
        <v>1147</v>
      </c>
      <c r="H268" s="7">
        <v>1147</v>
      </c>
      <c r="I268" s="30" t="s">
        <v>9</v>
      </c>
      <c r="J268" s="31">
        <v>1</v>
      </c>
    </row>
    <row r="269" spans="1:10" x14ac:dyDescent="0.25">
      <c r="A269" s="8">
        <v>45134</v>
      </c>
      <c r="B269" s="31" t="s">
        <v>50</v>
      </c>
      <c r="C269" s="35" t="s">
        <v>76</v>
      </c>
      <c r="D269" s="36">
        <v>12</v>
      </c>
      <c r="E269" s="3" t="str">
        <f>"LA BIKINA CANTINA - BONOS COMI"</f>
        <v>LA BIKINA CANTINA - BONOS COMI</v>
      </c>
      <c r="F269" s="2">
        <v>2505</v>
      </c>
      <c r="G269" s="7">
        <v>1216</v>
      </c>
      <c r="H269" s="7">
        <v>1216</v>
      </c>
      <c r="I269" s="30" t="s">
        <v>9</v>
      </c>
      <c r="J269" s="31">
        <v>1</v>
      </c>
    </row>
    <row r="270" spans="1:10" x14ac:dyDescent="0.25">
      <c r="A270" s="8">
        <v>45134</v>
      </c>
      <c r="B270" s="31" t="s">
        <v>52</v>
      </c>
      <c r="C270" s="35" t="s">
        <v>41</v>
      </c>
      <c r="D270" s="36">
        <v>1</v>
      </c>
      <c r="E270" s="3" t="str">
        <f>"YERAY R. GLEZ - BOLUDA"</f>
        <v>YERAY R. GLEZ - BOLUDA</v>
      </c>
      <c r="F270" s="2">
        <v>772</v>
      </c>
      <c r="G270" s="7">
        <v>2111.11</v>
      </c>
      <c r="H270" s="7">
        <v>2111.11</v>
      </c>
      <c r="I270" s="30" t="s">
        <v>9</v>
      </c>
      <c r="J270" s="31">
        <v>1</v>
      </c>
    </row>
    <row r="271" spans="1:10" x14ac:dyDescent="0.25">
      <c r="A271" s="8">
        <v>45134</v>
      </c>
      <c r="B271" s="31" t="s">
        <v>52</v>
      </c>
      <c r="C271" s="35" t="s">
        <v>41</v>
      </c>
      <c r="D271" s="36">
        <v>1</v>
      </c>
      <c r="E271" s="3" t="str">
        <f>"YERAY R. GLEZ - MILLER MONT. D"</f>
        <v>YERAY R. GLEZ - MILLER MONT. D</v>
      </c>
      <c r="F271" s="2">
        <v>773</v>
      </c>
      <c r="G271" s="7">
        <v>2143.7800000000002</v>
      </c>
      <c r="H271" s="7">
        <v>2143.7800000000002</v>
      </c>
      <c r="I271" s="30" t="s">
        <v>9</v>
      </c>
      <c r="J271" s="31">
        <v>1</v>
      </c>
    </row>
    <row r="272" spans="1:10" x14ac:dyDescent="0.25">
      <c r="A272" s="8">
        <v>45134</v>
      </c>
      <c r="B272" s="31" t="s">
        <v>50</v>
      </c>
      <c r="C272" s="35" t="s">
        <v>76</v>
      </c>
      <c r="D272" s="36">
        <v>12</v>
      </c>
      <c r="E272" s="3" t="str">
        <f>"3.0 OCIO CANARIAS-COMIDAS"</f>
        <v>3.0 OCIO CANARIAS-COMIDAS</v>
      </c>
      <c r="F272" s="2">
        <v>12</v>
      </c>
      <c r="G272" s="7">
        <v>2356</v>
      </c>
      <c r="H272" s="7">
        <v>2356</v>
      </c>
      <c r="I272" s="30" t="s">
        <v>9</v>
      </c>
      <c r="J272" s="31">
        <v>1</v>
      </c>
    </row>
    <row r="273" spans="1:19" x14ac:dyDescent="0.25">
      <c r="A273" s="8">
        <v>45134</v>
      </c>
      <c r="B273" s="31" t="s">
        <v>50</v>
      </c>
      <c r="C273" s="35" t="s">
        <v>76</v>
      </c>
      <c r="D273" s="36">
        <v>12</v>
      </c>
      <c r="E273" s="3" t="str">
        <f>"MARIA J.GOMEZ-COMIDAS FESTIVAL"</f>
        <v>MARIA J.GOMEZ-COMIDAS FESTIVAL</v>
      </c>
      <c r="F273" s="2">
        <v>15</v>
      </c>
      <c r="G273" s="7">
        <v>2634</v>
      </c>
      <c r="H273" s="7">
        <v>2634</v>
      </c>
      <c r="I273" s="30" t="s">
        <v>9</v>
      </c>
      <c r="J273" s="31">
        <v>1</v>
      </c>
    </row>
    <row r="274" spans="1:19" x14ac:dyDescent="0.25">
      <c r="A274" s="8">
        <v>45134</v>
      </c>
      <c r="B274" s="31" t="s">
        <v>50</v>
      </c>
      <c r="C274" s="35" t="s">
        <v>76</v>
      </c>
      <c r="D274" s="36">
        <v>12</v>
      </c>
      <c r="E274" s="3" t="str">
        <f>"JONICAMAR - BONOS CINE"</f>
        <v>JONICAMAR - BONOS CINE</v>
      </c>
      <c r="F274" s="2">
        <v>23061</v>
      </c>
      <c r="G274" s="7">
        <v>2924</v>
      </c>
      <c r="H274" s="7">
        <v>2924</v>
      </c>
      <c r="I274" s="30" t="s">
        <v>9</v>
      </c>
      <c r="J274" s="31">
        <v>1</v>
      </c>
    </row>
    <row r="275" spans="1:19" x14ac:dyDescent="0.25">
      <c r="A275" s="8">
        <v>45134</v>
      </c>
      <c r="B275" s="31" t="s">
        <v>39</v>
      </c>
      <c r="C275" s="35" t="s">
        <v>26</v>
      </c>
      <c r="D275" s="36">
        <v>1</v>
      </c>
      <c r="E275" s="3" t="str">
        <f>"LFSOUND - HITS HACKER"</f>
        <v>LFSOUND - HITS HACKER</v>
      </c>
      <c r="F275" s="2">
        <v>424</v>
      </c>
      <c r="G275" s="7">
        <v>5248.89</v>
      </c>
      <c r="H275" s="7">
        <v>5248.89</v>
      </c>
      <c r="I275" s="30" t="s">
        <v>9</v>
      </c>
      <c r="J275" s="31">
        <v>1</v>
      </c>
    </row>
    <row r="276" spans="1:19" x14ac:dyDescent="0.25">
      <c r="A276" s="8">
        <v>45134</v>
      </c>
      <c r="B276" s="31" t="s">
        <v>19</v>
      </c>
      <c r="C276" s="35" t="s">
        <v>26</v>
      </c>
      <c r="D276" s="36">
        <v>1</v>
      </c>
      <c r="E276" s="3" t="str">
        <f>"LFSOUND - LA TROVA"</f>
        <v>LFSOUND - LA TROVA</v>
      </c>
      <c r="F276" s="2">
        <v>423</v>
      </c>
      <c r="G276" s="7">
        <v>5320.04</v>
      </c>
      <c r="H276" s="7">
        <v>5320.04</v>
      </c>
      <c r="I276" s="30" t="s">
        <v>9</v>
      </c>
      <c r="J276" s="31">
        <v>1</v>
      </c>
    </row>
    <row r="277" spans="1:19" x14ac:dyDescent="0.25">
      <c r="A277" s="8">
        <v>45134</v>
      </c>
      <c r="B277" s="31" t="s">
        <v>39</v>
      </c>
      <c r="C277" s="35" t="s">
        <v>26</v>
      </c>
      <c r="D277" s="36">
        <v>1</v>
      </c>
      <c r="E277" s="3" t="str">
        <f>"LFSOUND - TRIBUTO AMY WINE"</f>
        <v>LFSOUND - TRIBUTO AMY WINE</v>
      </c>
      <c r="F277" s="2">
        <v>422</v>
      </c>
      <c r="G277" s="7">
        <v>12840</v>
      </c>
      <c r="H277" s="7">
        <v>12840</v>
      </c>
      <c r="I277" s="30" t="s">
        <v>9</v>
      </c>
      <c r="J277" s="31">
        <v>1</v>
      </c>
    </row>
    <row r="278" spans="1:19" x14ac:dyDescent="0.25">
      <c r="A278" s="8">
        <v>45135</v>
      </c>
      <c r="B278" s="31" t="s">
        <v>50</v>
      </c>
      <c r="C278" s="35" t="s">
        <v>76</v>
      </c>
      <c r="D278" s="36">
        <v>12</v>
      </c>
      <c r="E278" s="3" t="str">
        <f>"GRUPO OEOE - BONOS COMIDA"</f>
        <v>GRUPO OEOE - BONOS COMIDA</v>
      </c>
      <c r="F278" s="2">
        <v>230073</v>
      </c>
      <c r="G278" s="7">
        <v>123</v>
      </c>
      <c r="H278" s="7">
        <v>123</v>
      </c>
      <c r="I278" s="30" t="s">
        <v>9</v>
      </c>
      <c r="J278" s="31">
        <v>1</v>
      </c>
    </row>
    <row r="279" spans="1:19" x14ac:dyDescent="0.25">
      <c r="A279" s="8">
        <v>45135</v>
      </c>
      <c r="B279" s="31" t="s">
        <v>12</v>
      </c>
      <c r="C279" s="35" t="s">
        <v>42</v>
      </c>
      <c r="D279" s="36">
        <v>1</v>
      </c>
      <c r="E279" s="3" t="str">
        <f>"GERARDO L. CUBAS - TRASLADO"</f>
        <v>GERARDO L. CUBAS - TRASLADO</v>
      </c>
      <c r="F279" s="2">
        <v>1756</v>
      </c>
      <c r="G279" s="7">
        <v>319.3</v>
      </c>
      <c r="H279" s="7">
        <v>319.3</v>
      </c>
      <c r="I279" s="30" t="s">
        <v>9</v>
      </c>
      <c r="J279" s="31">
        <v>1</v>
      </c>
    </row>
    <row r="280" spans="1:19" x14ac:dyDescent="0.25">
      <c r="A280" s="8">
        <v>45135</v>
      </c>
      <c r="B280" s="31" t="s">
        <v>17</v>
      </c>
      <c r="C280" s="35" t="s">
        <v>42</v>
      </c>
      <c r="D280" s="36">
        <v>1</v>
      </c>
      <c r="E280" s="3" t="str">
        <f>"GERARDO L. CUBAS - TRASLADO"</f>
        <v>GERARDO L. CUBAS - TRASLADO</v>
      </c>
      <c r="F280" s="2">
        <v>1758</v>
      </c>
      <c r="G280" s="7">
        <v>782.8</v>
      </c>
      <c r="H280" s="7">
        <v>782.8</v>
      </c>
      <c r="I280" s="30" t="s">
        <v>9</v>
      </c>
      <c r="J280" s="31">
        <v>1</v>
      </c>
    </row>
    <row r="281" spans="1:19" x14ac:dyDescent="0.25">
      <c r="A281" s="8">
        <v>45135</v>
      </c>
      <c r="B281" s="31" t="s">
        <v>12</v>
      </c>
      <c r="C281" s="35" t="s">
        <v>42</v>
      </c>
      <c r="D281" s="36">
        <v>1</v>
      </c>
      <c r="E281" s="3" t="str">
        <f>"GERARDO L. CUBAS - TRASLADOS"</f>
        <v>GERARDO L. CUBAS - TRASLADOS</v>
      </c>
      <c r="F281" s="2">
        <v>1755</v>
      </c>
      <c r="G281" s="7">
        <v>1339</v>
      </c>
      <c r="H281" s="7">
        <v>1339</v>
      </c>
      <c r="I281" s="30" t="s">
        <v>9</v>
      </c>
      <c r="J281" s="31">
        <v>1</v>
      </c>
    </row>
    <row r="282" spans="1:19" x14ac:dyDescent="0.25">
      <c r="A282" s="22"/>
      <c r="B282" s="22"/>
      <c r="C282" s="22"/>
      <c r="D282" s="23"/>
      <c r="E282" s="24"/>
      <c r="F282" s="25"/>
      <c r="G282" s="26"/>
      <c r="H282" s="26"/>
      <c r="I282" s="27"/>
      <c r="J282" s="28"/>
    </row>
    <row r="283" spans="1:19" x14ac:dyDescent="0.25">
      <c r="H283" s="7"/>
    </row>
    <row r="284" spans="1:19" ht="15.5" x14ac:dyDescent="0.25">
      <c r="A284" s="15" t="s">
        <v>0</v>
      </c>
      <c r="B284" s="15" t="s">
        <v>8</v>
      </c>
      <c r="C284" s="15" t="s">
        <v>7</v>
      </c>
      <c r="D284" s="16" t="s">
        <v>10</v>
      </c>
      <c r="E284" s="15" t="s">
        <v>6</v>
      </c>
      <c r="F284" s="15" t="s">
        <v>1</v>
      </c>
      <c r="G284" s="15" t="s">
        <v>2</v>
      </c>
      <c r="H284" s="15" t="s">
        <v>3</v>
      </c>
      <c r="I284" s="15" t="s">
        <v>4</v>
      </c>
      <c r="J284" s="15" t="s">
        <v>5</v>
      </c>
    </row>
    <row r="285" spans="1:19" ht="22.5" customHeight="1" x14ac:dyDescent="0.35">
      <c r="A285" s="11" t="s">
        <v>61</v>
      </c>
    </row>
    <row r="287" spans="1:19" x14ac:dyDescent="0.25">
      <c r="A287" s="8">
        <v>45139</v>
      </c>
      <c r="B287" s="31" t="s">
        <v>13</v>
      </c>
      <c r="C287" s="33" t="s">
        <v>27</v>
      </c>
      <c r="D287" s="31">
        <v>1</v>
      </c>
      <c r="E287" s="3" t="str">
        <f>"HISAE IMANO - OLA DE LETRAS"</f>
        <v>HISAE IMANO - OLA DE LETRAS</v>
      </c>
      <c r="F287" s="2">
        <v>1</v>
      </c>
      <c r="G287" s="7">
        <v>90</v>
      </c>
      <c r="H287" s="7">
        <v>90</v>
      </c>
      <c r="I287" s="30" t="s">
        <v>9</v>
      </c>
      <c r="J287" s="31">
        <v>1</v>
      </c>
      <c r="K287" s="2"/>
      <c r="L287" s="1"/>
      <c r="M287" s="1"/>
      <c r="N287" s="2"/>
      <c r="Q287" s="3"/>
      <c r="R287" s="2"/>
      <c r="S287" s="2"/>
    </row>
    <row r="288" spans="1:19" x14ac:dyDescent="0.25">
      <c r="A288" s="8">
        <v>45139</v>
      </c>
      <c r="B288" s="31" t="s">
        <v>13</v>
      </c>
      <c r="C288" s="33" t="s">
        <v>27</v>
      </c>
      <c r="D288" s="31">
        <v>1</v>
      </c>
      <c r="E288" s="3" t="str">
        <f>"HISAE IMANO - OLA DE LETRAS"</f>
        <v>HISAE IMANO - OLA DE LETRAS</v>
      </c>
      <c r="F288" s="2">
        <v>2</v>
      </c>
      <c r="G288" s="7">
        <v>90</v>
      </c>
      <c r="H288" s="7">
        <v>90</v>
      </c>
      <c r="I288" s="30" t="s">
        <v>9</v>
      </c>
      <c r="J288" s="31">
        <v>1</v>
      </c>
      <c r="K288" s="2"/>
      <c r="L288" s="1"/>
      <c r="M288" s="1"/>
      <c r="N288" s="2"/>
      <c r="P288" s="4"/>
      <c r="Q288" s="3"/>
      <c r="R288" s="2"/>
      <c r="S288" s="2"/>
    </row>
    <row r="289" spans="1:29" x14ac:dyDescent="0.25">
      <c r="A289" s="8">
        <v>45139</v>
      </c>
      <c r="B289" s="31" t="s">
        <v>39</v>
      </c>
      <c r="C289" s="33" t="s">
        <v>41</v>
      </c>
      <c r="D289" s="31">
        <v>1</v>
      </c>
      <c r="E289" s="3" t="str">
        <f>"MARIA JOSE PARRILLA - PREMIOS"</f>
        <v>MARIA JOSE PARRILLA - PREMIOS</v>
      </c>
      <c r="F289" s="2">
        <v>230703</v>
      </c>
      <c r="G289" s="7">
        <v>110.4</v>
      </c>
      <c r="H289" s="7">
        <v>110.4</v>
      </c>
      <c r="I289" s="30" t="s">
        <v>9</v>
      </c>
      <c r="J289" s="31">
        <v>1</v>
      </c>
      <c r="K289" s="2"/>
      <c r="L289" s="1"/>
      <c r="M289" s="1"/>
      <c r="N289" s="2"/>
      <c r="P289" s="4"/>
      <c r="Q289" s="3"/>
      <c r="R289" s="2"/>
      <c r="S289" s="2"/>
    </row>
    <row r="290" spans="1:29" x14ac:dyDescent="0.25">
      <c r="A290" s="8">
        <v>45139</v>
      </c>
      <c r="B290" s="31" t="s">
        <v>16</v>
      </c>
      <c r="C290" s="33" t="s">
        <v>42</v>
      </c>
      <c r="D290" s="31">
        <v>1</v>
      </c>
      <c r="E290" s="3" t="str">
        <f>"GERARDO L. CUBA - TRASL M BAIL"</f>
        <v>GERARDO L. CUBA - TRASL M BAIL</v>
      </c>
      <c r="F290" s="2">
        <v>1751</v>
      </c>
      <c r="G290" s="7">
        <v>144.19999999999999</v>
      </c>
      <c r="H290" s="7">
        <v>144.19999999999999</v>
      </c>
      <c r="I290" s="30" t="s">
        <v>9</v>
      </c>
      <c r="J290" s="31">
        <v>1</v>
      </c>
      <c r="K290" s="2"/>
      <c r="L290" s="1"/>
      <c r="M290" s="1"/>
      <c r="N290" s="2"/>
      <c r="P290" s="4"/>
      <c r="Q290" s="3"/>
      <c r="R290" s="2"/>
      <c r="S290" s="2"/>
    </row>
    <row r="291" spans="1:29" x14ac:dyDescent="0.25">
      <c r="A291" s="8">
        <v>45139</v>
      </c>
      <c r="B291" s="31" t="s">
        <v>13</v>
      </c>
      <c r="C291" s="33" t="s">
        <v>27</v>
      </c>
      <c r="D291" s="31">
        <v>1</v>
      </c>
      <c r="E291" s="3" t="str">
        <f>"CRISTINA MARTIN - OLA DE LETRA"</f>
        <v>CRISTINA MARTIN - OLA DE LETRA</v>
      </c>
      <c r="F291" s="2">
        <v>47</v>
      </c>
      <c r="G291" s="7">
        <v>184</v>
      </c>
      <c r="H291" s="7">
        <v>184</v>
      </c>
      <c r="I291" s="30" t="s">
        <v>9</v>
      </c>
      <c r="J291" s="31">
        <v>1</v>
      </c>
      <c r="K291" s="2"/>
      <c r="L291" s="1"/>
      <c r="M291" s="1"/>
      <c r="N291" s="2"/>
      <c r="P291" s="4"/>
      <c r="Q291" s="3"/>
      <c r="R291" s="2"/>
      <c r="S291" s="2"/>
    </row>
    <row r="292" spans="1:29" ht="14.5" x14ac:dyDescent="0.35">
      <c r="A292" s="8">
        <v>45139</v>
      </c>
      <c r="B292" s="31" t="s">
        <v>12</v>
      </c>
      <c r="C292" s="33" t="s">
        <v>42</v>
      </c>
      <c r="D292" s="31">
        <v>1</v>
      </c>
      <c r="E292" s="3" t="str">
        <f>"GERARDO L. CUBAS - TRASL. TERO"</f>
        <v>GERARDO L. CUBAS - TRASL. TERO</v>
      </c>
      <c r="F292" s="2">
        <v>1754</v>
      </c>
      <c r="G292" s="7">
        <v>216.3</v>
      </c>
      <c r="H292" s="7">
        <v>216.3</v>
      </c>
      <c r="I292" s="30" t="s">
        <v>9</v>
      </c>
      <c r="J292" s="31">
        <v>1</v>
      </c>
      <c r="K292" s="2"/>
      <c r="L292" s="1"/>
      <c r="M292" s="1"/>
      <c r="N292"/>
      <c r="P292" s="4"/>
      <c r="Q292" s="3"/>
      <c r="R292" s="2"/>
      <c r="S292" s="2"/>
    </row>
    <row r="293" spans="1:29" x14ac:dyDescent="0.25">
      <c r="A293" s="8">
        <v>45139</v>
      </c>
      <c r="B293" s="31" t="s">
        <v>12</v>
      </c>
      <c r="C293" s="33" t="s">
        <v>42</v>
      </c>
      <c r="D293" s="31">
        <v>1</v>
      </c>
      <c r="E293" s="3" t="str">
        <f>"GERARDO L. CUBAS - TRASL. FIES"</f>
        <v>GERARDO L. CUBAS - TRASL. FIES</v>
      </c>
      <c r="F293" s="2">
        <v>1752</v>
      </c>
      <c r="G293" s="7">
        <v>257.5</v>
      </c>
      <c r="H293" s="7">
        <v>257.5</v>
      </c>
      <c r="I293" s="30" t="s">
        <v>9</v>
      </c>
      <c r="J293" s="31">
        <v>1</v>
      </c>
      <c r="K293" s="2"/>
      <c r="L293" s="1"/>
      <c r="M293" s="1"/>
      <c r="N293" s="2"/>
      <c r="P293" s="4"/>
      <c r="Q293" s="3"/>
      <c r="R293" s="2"/>
      <c r="S293" s="2"/>
      <c r="AC293" s="4"/>
    </row>
    <row r="294" spans="1:29" x14ac:dyDescent="0.25">
      <c r="A294" s="8">
        <v>45139</v>
      </c>
      <c r="B294" s="31" t="s">
        <v>17</v>
      </c>
      <c r="C294" s="33" t="s">
        <v>42</v>
      </c>
      <c r="D294" s="31">
        <v>1</v>
      </c>
      <c r="E294" s="3" t="str">
        <f>"GERARDO L. CUBAS - TRASLADOS"</f>
        <v>GERARDO L. CUBAS - TRASLADOS</v>
      </c>
      <c r="F294" s="2">
        <v>1753</v>
      </c>
      <c r="G294" s="7">
        <v>267.8</v>
      </c>
      <c r="H294" s="7">
        <v>267.8</v>
      </c>
      <c r="I294" s="30" t="s">
        <v>9</v>
      </c>
      <c r="J294" s="31">
        <v>1</v>
      </c>
      <c r="K294" s="2"/>
      <c r="L294" s="1"/>
      <c r="M294" s="1"/>
      <c r="N294" s="2"/>
      <c r="P294" s="4"/>
      <c r="Q294" s="3"/>
      <c r="R294" s="2"/>
      <c r="S294" s="2"/>
    </row>
    <row r="295" spans="1:29" x14ac:dyDescent="0.25">
      <c r="A295" s="8">
        <v>45139</v>
      </c>
      <c r="B295" s="31" t="s">
        <v>12</v>
      </c>
      <c r="C295" s="33" t="s">
        <v>42</v>
      </c>
      <c r="D295" s="31">
        <v>1</v>
      </c>
      <c r="E295" s="3" t="str">
        <f>"GERARDO L. CUBAS - TRASLADOS"</f>
        <v>GERARDO L. CUBAS - TRASLADOS</v>
      </c>
      <c r="F295" s="2">
        <v>1760</v>
      </c>
      <c r="G295" s="7">
        <v>267.8</v>
      </c>
      <c r="H295" s="7">
        <v>267.8</v>
      </c>
      <c r="I295" s="30" t="s">
        <v>9</v>
      </c>
      <c r="J295" s="31">
        <v>1</v>
      </c>
      <c r="K295" s="2"/>
      <c r="L295" s="1"/>
      <c r="M295" s="1"/>
      <c r="N295" s="2"/>
      <c r="P295" s="4"/>
      <c r="Q295" s="3"/>
      <c r="R295" s="2"/>
      <c r="S295" s="2"/>
    </row>
    <row r="296" spans="1:29" x14ac:dyDescent="0.25">
      <c r="A296" s="8">
        <v>45139</v>
      </c>
      <c r="B296" s="31" t="s">
        <v>13</v>
      </c>
      <c r="C296" s="33" t="s">
        <v>42</v>
      </c>
      <c r="D296" s="31">
        <v>1</v>
      </c>
      <c r="E296" s="3" t="str">
        <f>"GERARDO L. CUBAS - TRASLADO AG"</f>
        <v>GERARDO L. CUBAS - TRASLADO AG</v>
      </c>
      <c r="F296" s="2">
        <v>1750</v>
      </c>
      <c r="G296" s="7">
        <v>288.39999999999998</v>
      </c>
      <c r="H296" s="7">
        <v>288.39999999999998</v>
      </c>
      <c r="I296" s="30" t="s">
        <v>9</v>
      </c>
      <c r="J296" s="31">
        <v>1</v>
      </c>
      <c r="K296" s="2"/>
      <c r="L296" s="1"/>
      <c r="M296" s="1"/>
      <c r="N296" s="2"/>
      <c r="P296" s="4"/>
      <c r="Q296" s="3"/>
      <c r="R296" s="2"/>
      <c r="S296" s="2"/>
    </row>
    <row r="297" spans="1:29" x14ac:dyDescent="0.25">
      <c r="A297" s="8">
        <v>45139</v>
      </c>
      <c r="B297" s="31" t="s">
        <v>63</v>
      </c>
      <c r="C297" s="33" t="s">
        <v>42</v>
      </c>
      <c r="D297" s="31">
        <v>1</v>
      </c>
      <c r="E297" s="3" t="str">
        <f>"GERARDO L. CUBAS - TRASL"</f>
        <v>GERARDO L. CUBAS - TRASL</v>
      </c>
      <c r="F297" s="2">
        <v>1757</v>
      </c>
      <c r="G297" s="7">
        <v>535.6</v>
      </c>
      <c r="H297" s="7">
        <v>535.6</v>
      </c>
      <c r="I297" s="30" t="s">
        <v>9</v>
      </c>
      <c r="J297" s="31">
        <v>1</v>
      </c>
      <c r="K297" s="2"/>
      <c r="L297" s="1"/>
      <c r="M297" s="1"/>
      <c r="N297" s="2"/>
      <c r="P297" s="4"/>
      <c r="Q297" s="3"/>
      <c r="R297" s="2"/>
      <c r="S297" s="2"/>
    </row>
    <row r="298" spans="1:29" x14ac:dyDescent="0.25">
      <c r="A298" s="8">
        <v>45139</v>
      </c>
      <c r="B298" s="31" t="s">
        <v>52</v>
      </c>
      <c r="C298" s="33" t="s">
        <v>32</v>
      </c>
      <c r="D298" s="31">
        <v>6</v>
      </c>
      <c r="E298" s="3" t="str">
        <f>"CENPOL - VIG SEG."</f>
        <v>CENPOL - VIG SEG.</v>
      </c>
      <c r="F298" s="2">
        <v>243</v>
      </c>
      <c r="G298" s="7">
        <v>952.3</v>
      </c>
      <c r="H298" s="7">
        <v>952.3</v>
      </c>
      <c r="I298" s="30" t="s">
        <v>9</v>
      </c>
      <c r="J298" s="31">
        <v>1</v>
      </c>
      <c r="K298" s="2"/>
      <c r="L298" s="1"/>
      <c r="M298" s="1"/>
      <c r="N298" s="2"/>
      <c r="P298" s="4"/>
      <c r="Q298" s="3"/>
      <c r="R298" s="2"/>
      <c r="S298" s="2"/>
    </row>
    <row r="299" spans="1:29" x14ac:dyDescent="0.25">
      <c r="A299" s="8">
        <v>45139</v>
      </c>
      <c r="B299" s="31" t="s">
        <v>14</v>
      </c>
      <c r="C299" s="33" t="s">
        <v>42</v>
      </c>
      <c r="D299" s="31">
        <v>1</v>
      </c>
      <c r="E299" s="3" t="str">
        <f>"GERARDO L .CUBAS - TRASLADOS"</f>
        <v>GERARDO L .CUBAS - TRASLADOS</v>
      </c>
      <c r="F299" s="2">
        <v>1759</v>
      </c>
      <c r="G299" s="7">
        <v>1380.2</v>
      </c>
      <c r="H299" s="7">
        <v>1380.2</v>
      </c>
      <c r="I299" s="30" t="s">
        <v>9</v>
      </c>
      <c r="J299" s="31">
        <v>1</v>
      </c>
      <c r="K299" s="2"/>
      <c r="L299" s="1"/>
      <c r="M299" s="1"/>
      <c r="N299" s="2"/>
      <c r="P299" s="4"/>
      <c r="Q299" s="3"/>
      <c r="R299" s="2"/>
      <c r="S299" s="2"/>
    </row>
    <row r="300" spans="1:29" x14ac:dyDescent="0.25">
      <c r="A300" s="8">
        <v>45139</v>
      </c>
      <c r="B300" s="31" t="s">
        <v>11</v>
      </c>
      <c r="C300" s="33" t="s">
        <v>48</v>
      </c>
      <c r="D300" s="31">
        <v>30</v>
      </c>
      <c r="E300" s="3" t="str">
        <f>"AG CONS. Y ASESORES-JULIO"</f>
        <v>AG CONS. Y ASESORES-JULIO</v>
      </c>
      <c r="F300" s="2">
        <v>957</v>
      </c>
      <c r="G300" s="7">
        <v>1403.35</v>
      </c>
      <c r="H300" s="7">
        <v>1403.35</v>
      </c>
      <c r="I300" s="30" t="s">
        <v>9</v>
      </c>
      <c r="J300" s="31">
        <v>1</v>
      </c>
      <c r="K300" s="2"/>
      <c r="L300" s="1"/>
      <c r="M300" s="1"/>
      <c r="N300" s="2"/>
      <c r="P300" s="4"/>
      <c r="Q300" s="3"/>
      <c r="R300" s="2"/>
      <c r="S300" s="2"/>
    </row>
    <row r="301" spans="1:29" x14ac:dyDescent="0.25">
      <c r="A301" s="8">
        <v>45139</v>
      </c>
      <c r="B301" s="31" t="s">
        <v>16</v>
      </c>
      <c r="C301" s="33" t="s">
        <v>32</v>
      </c>
      <c r="D301" s="31">
        <v>18</v>
      </c>
      <c r="E301" s="3" t="str">
        <f>"POWER 7 - JUNIO VIG"</f>
        <v>POWER 7 - JUNIO VIG</v>
      </c>
      <c r="F301" s="2">
        <v>19</v>
      </c>
      <c r="G301" s="7">
        <v>3681.87</v>
      </c>
      <c r="H301" s="7">
        <v>3681.87</v>
      </c>
      <c r="I301" s="30" t="s">
        <v>9</v>
      </c>
      <c r="J301" s="31">
        <v>1</v>
      </c>
      <c r="K301" s="2"/>
      <c r="L301" s="1"/>
      <c r="M301" s="1"/>
      <c r="N301" s="2"/>
      <c r="P301" s="4"/>
      <c r="Q301" s="3"/>
      <c r="R301" s="2"/>
      <c r="S301" s="2"/>
    </row>
    <row r="302" spans="1:29" x14ac:dyDescent="0.25">
      <c r="A302" s="8">
        <v>45140</v>
      </c>
      <c r="B302" s="31" t="s">
        <v>52</v>
      </c>
      <c r="C302" s="33" t="s">
        <v>28</v>
      </c>
      <c r="D302" s="31">
        <v>12</v>
      </c>
      <c r="E302" s="3" t="str">
        <f>"EROS RAMSES - SERV. FOTOGRAFIC"</f>
        <v>EROS RAMSES - SERV. FOTOGRAFIC</v>
      </c>
      <c r="F302" s="2">
        <v>56</v>
      </c>
      <c r="G302" s="7">
        <v>1440</v>
      </c>
      <c r="H302" s="7">
        <v>1440</v>
      </c>
      <c r="I302" s="30" t="s">
        <v>9</v>
      </c>
      <c r="J302" s="31">
        <v>1</v>
      </c>
      <c r="K302" s="2"/>
      <c r="L302" s="1"/>
      <c r="M302" s="1"/>
      <c r="N302" s="2"/>
      <c r="P302" s="4"/>
      <c r="Q302" s="3"/>
      <c r="R302" s="2"/>
      <c r="S302" s="2"/>
    </row>
    <row r="303" spans="1:29" x14ac:dyDescent="0.25">
      <c r="A303" s="8">
        <v>45141</v>
      </c>
      <c r="B303" s="31" t="s">
        <v>52</v>
      </c>
      <c r="C303" s="33" t="s">
        <v>42</v>
      </c>
      <c r="D303" s="31">
        <v>1</v>
      </c>
      <c r="E303" s="3" t="str">
        <f>"GERARDO L. CUBAS - TRASLADOS"</f>
        <v>GERARDO L. CUBAS - TRASLADOS</v>
      </c>
      <c r="F303" s="2">
        <v>2472</v>
      </c>
      <c r="G303" s="7">
        <v>659.2</v>
      </c>
      <c r="H303" s="7">
        <v>659.2</v>
      </c>
      <c r="I303" s="30" t="s">
        <v>9</v>
      </c>
      <c r="J303" s="31">
        <v>1</v>
      </c>
      <c r="K303" s="2"/>
      <c r="L303" s="1"/>
      <c r="M303" s="1"/>
      <c r="N303" s="2"/>
      <c r="P303" s="4"/>
      <c r="Q303" s="3"/>
      <c r="R303" s="2"/>
      <c r="S303" s="2"/>
    </row>
    <row r="304" spans="1:29" x14ac:dyDescent="0.25">
      <c r="A304" s="8">
        <v>45145</v>
      </c>
      <c r="B304" s="31" t="s">
        <v>50</v>
      </c>
      <c r="C304" s="33" t="s">
        <v>53</v>
      </c>
      <c r="D304" s="31">
        <v>30</v>
      </c>
      <c r="E304" s="3" t="str">
        <f>"GOOGLE-JULIO LPA FILM FESTIVAL"</f>
        <v>GOOGLE-JULIO LPA FILM FESTIVAL</v>
      </c>
      <c r="F304" s="2">
        <v>868579</v>
      </c>
      <c r="G304" s="7">
        <v>67.599999999999994</v>
      </c>
      <c r="H304" s="7">
        <v>67.599999999999994</v>
      </c>
      <c r="I304" s="30" t="s">
        <v>9</v>
      </c>
      <c r="J304" s="31">
        <v>1</v>
      </c>
      <c r="K304" s="2"/>
      <c r="L304" s="1"/>
      <c r="M304" s="1"/>
      <c r="N304" s="2"/>
      <c r="P304" s="4"/>
      <c r="Q304" s="3"/>
      <c r="R304" s="2"/>
      <c r="S304" s="2"/>
    </row>
    <row r="305" spans="1:19" x14ac:dyDescent="0.25">
      <c r="A305" s="8">
        <v>45146</v>
      </c>
      <c r="B305" s="31" t="s">
        <v>16</v>
      </c>
      <c r="C305" s="33" t="s">
        <v>22</v>
      </c>
      <c r="D305" s="31">
        <v>30</v>
      </c>
      <c r="E305" s="3" t="str">
        <f>"ENDESA XXI-JUNIO EDIF. MILLER"</f>
        <v>ENDESA XXI-JUNIO EDIF. MILLER</v>
      </c>
      <c r="F305" s="2">
        <v>13905</v>
      </c>
      <c r="G305" s="7">
        <v>315.91000000000003</v>
      </c>
      <c r="H305" s="7">
        <v>315.91000000000003</v>
      </c>
      <c r="I305" s="30" t="s">
        <v>9</v>
      </c>
      <c r="J305" s="31">
        <v>1</v>
      </c>
      <c r="K305" s="2"/>
      <c r="L305" s="1"/>
      <c r="M305" s="1"/>
      <c r="N305" s="2"/>
      <c r="P305" s="4"/>
      <c r="Q305" s="3"/>
      <c r="R305" s="2"/>
      <c r="S305" s="2"/>
    </row>
    <row r="306" spans="1:19" x14ac:dyDescent="0.25">
      <c r="A306" s="8">
        <v>45146</v>
      </c>
      <c r="B306" s="31" t="s">
        <v>18</v>
      </c>
      <c r="C306" s="33" t="s">
        <v>22</v>
      </c>
      <c r="D306" s="31">
        <v>30</v>
      </c>
      <c r="E306" s="3" t="str">
        <f>"ENDESA XXI-JUNIO QUEGLES"</f>
        <v>ENDESA XXI-JUNIO QUEGLES</v>
      </c>
      <c r="F306" s="2">
        <v>13904</v>
      </c>
      <c r="G306" s="7">
        <v>349.09</v>
      </c>
      <c r="H306" s="7">
        <v>349.09</v>
      </c>
      <c r="I306" s="30" t="s">
        <v>9</v>
      </c>
      <c r="J306" s="31">
        <v>1</v>
      </c>
      <c r="K306" s="2"/>
      <c r="L306" s="1"/>
      <c r="M306" s="1"/>
      <c r="N306" s="2"/>
      <c r="P306" s="4"/>
      <c r="Q306" s="3"/>
      <c r="R306" s="2"/>
      <c r="S306" s="2"/>
    </row>
    <row r="307" spans="1:19" x14ac:dyDescent="0.25">
      <c r="A307" s="8">
        <v>45146</v>
      </c>
      <c r="B307" s="31" t="s">
        <v>52</v>
      </c>
      <c r="C307" s="33" t="s">
        <v>33</v>
      </c>
      <c r="D307" s="31">
        <v>6</v>
      </c>
      <c r="E307" s="3" t="str">
        <f>"ALCOIMA - SANITARIO Y LIMPIEZ"</f>
        <v>ALCOIMA - SANITARIO Y LIMPIEZ</v>
      </c>
      <c r="F307" s="2">
        <v>1292</v>
      </c>
      <c r="G307" s="7">
        <v>540.35</v>
      </c>
      <c r="H307" s="7">
        <v>540.35</v>
      </c>
      <c r="I307" s="30" t="s">
        <v>9</v>
      </c>
      <c r="J307" s="31">
        <v>1</v>
      </c>
      <c r="K307" s="2"/>
      <c r="L307" s="1"/>
      <c r="M307" s="1"/>
      <c r="N307" s="2"/>
      <c r="P307" s="4"/>
      <c r="Q307" s="3"/>
      <c r="R307" s="2"/>
      <c r="S307" s="2"/>
    </row>
    <row r="308" spans="1:19" x14ac:dyDescent="0.25">
      <c r="A308" s="8">
        <v>45146</v>
      </c>
      <c r="B308" s="31" t="s">
        <v>13</v>
      </c>
      <c r="C308" s="33" t="s">
        <v>41</v>
      </c>
      <c r="D308" s="31">
        <v>1</v>
      </c>
      <c r="E308" s="3" t="str">
        <f>"PM TRANS - TRASERA GUAGUA"</f>
        <v>PM TRANS - TRASERA GUAGUA</v>
      </c>
      <c r="F308" s="2">
        <v>18</v>
      </c>
      <c r="G308" s="7">
        <v>1348.2</v>
      </c>
      <c r="H308" s="7">
        <v>1348.2</v>
      </c>
      <c r="I308" s="30" t="s">
        <v>9</v>
      </c>
      <c r="J308" s="31">
        <v>1</v>
      </c>
      <c r="K308" s="2"/>
      <c r="L308" s="1"/>
      <c r="M308" s="1"/>
      <c r="N308" s="2"/>
      <c r="P308" s="4"/>
      <c r="Q308" s="3"/>
      <c r="R308" s="2"/>
      <c r="S308" s="2"/>
    </row>
    <row r="309" spans="1:19" x14ac:dyDescent="0.25">
      <c r="A309" s="8">
        <v>45146</v>
      </c>
      <c r="B309" s="31" t="s">
        <v>13</v>
      </c>
      <c r="C309" s="33" t="s">
        <v>41</v>
      </c>
      <c r="D309" s="31">
        <v>1</v>
      </c>
      <c r="E309" s="3" t="str">
        <f>"PM TRANS - INTERIOR GUAGUA"</f>
        <v>PM TRANS - INTERIOR GUAGUA</v>
      </c>
      <c r="F309" s="2">
        <v>19</v>
      </c>
      <c r="G309" s="7">
        <v>1391</v>
      </c>
      <c r="H309" s="7">
        <v>1391</v>
      </c>
      <c r="I309" s="30" t="s">
        <v>9</v>
      </c>
      <c r="J309" s="31">
        <v>1</v>
      </c>
      <c r="K309" s="2"/>
      <c r="L309" s="1"/>
      <c r="M309" s="1"/>
      <c r="N309" s="2"/>
      <c r="P309" s="4"/>
      <c r="Q309" s="3"/>
      <c r="R309" s="2"/>
      <c r="S309" s="2"/>
    </row>
    <row r="310" spans="1:19" x14ac:dyDescent="0.25">
      <c r="A310" s="8">
        <v>45146</v>
      </c>
      <c r="B310" s="31" t="s">
        <v>52</v>
      </c>
      <c r="C310" s="33" t="s">
        <v>33</v>
      </c>
      <c r="D310" s="31">
        <v>20</v>
      </c>
      <c r="E310" s="3" t="str">
        <f>"FCO JOSE PEREZ - AST. TEC"</f>
        <v>FCO JOSE PEREZ - AST. TEC</v>
      </c>
      <c r="F310" s="2">
        <v>85</v>
      </c>
      <c r="G310" s="7">
        <v>2355.1999999999998</v>
      </c>
      <c r="H310" s="7">
        <v>2355.1999999999998</v>
      </c>
      <c r="I310" s="30" t="s">
        <v>9</v>
      </c>
      <c r="J310" s="31">
        <v>1</v>
      </c>
      <c r="K310" s="2"/>
      <c r="L310" s="1"/>
      <c r="M310" s="1"/>
      <c r="N310" s="2"/>
      <c r="P310" s="4"/>
      <c r="Q310" s="3"/>
      <c r="R310" s="2"/>
      <c r="S310" s="2"/>
    </row>
    <row r="311" spans="1:19" x14ac:dyDescent="0.25">
      <c r="A311" s="8">
        <v>45146</v>
      </c>
      <c r="B311" s="31" t="s">
        <v>52</v>
      </c>
      <c r="C311" s="33" t="s">
        <v>33</v>
      </c>
      <c r="D311" s="31">
        <v>2</v>
      </c>
      <c r="E311" s="3" t="str">
        <f>"DMC - SPASMO TEATR / LA MEJOR"</f>
        <v>DMC - SPASMO TEATR / LA MEJOR</v>
      </c>
      <c r="F311" s="2">
        <v>113</v>
      </c>
      <c r="G311" s="7">
        <v>5296.5</v>
      </c>
      <c r="H311" s="7">
        <v>5296.5</v>
      </c>
      <c r="I311" s="30" t="s">
        <v>9</v>
      </c>
      <c r="J311" s="31">
        <v>1</v>
      </c>
      <c r="K311" s="2"/>
      <c r="L311" s="1"/>
      <c r="M311" s="1"/>
      <c r="N311" s="2"/>
      <c r="P311" s="4"/>
      <c r="Q311" s="3"/>
      <c r="R311" s="2"/>
      <c r="S311" s="2"/>
    </row>
    <row r="312" spans="1:19" x14ac:dyDescent="0.25">
      <c r="A312" s="8">
        <v>45146</v>
      </c>
      <c r="B312" s="31" t="s">
        <v>52</v>
      </c>
      <c r="C312" s="33" t="s">
        <v>33</v>
      </c>
      <c r="D312" s="31">
        <v>2</v>
      </c>
      <c r="E312" s="3" t="str">
        <f>"DMC - AERIAL CIRCO / PICTORIK"</f>
        <v>DMC - AERIAL CIRCO / PICTORIK</v>
      </c>
      <c r="F312" s="2">
        <v>110</v>
      </c>
      <c r="G312" s="7">
        <v>5473.05</v>
      </c>
      <c r="H312" s="7">
        <v>5473.05</v>
      </c>
      <c r="I312" s="30" t="s">
        <v>9</v>
      </c>
      <c r="J312" s="31">
        <v>1</v>
      </c>
      <c r="K312" s="2"/>
      <c r="L312" s="1"/>
      <c r="M312" s="1"/>
      <c r="N312" s="2"/>
      <c r="P312" s="4"/>
      <c r="Q312" s="3"/>
      <c r="R312" s="2"/>
      <c r="S312" s="2"/>
    </row>
    <row r="313" spans="1:19" x14ac:dyDescent="0.25">
      <c r="A313" s="8">
        <v>45146</v>
      </c>
      <c r="B313" s="31" t="s">
        <v>52</v>
      </c>
      <c r="C313" s="33" t="s">
        <v>33</v>
      </c>
      <c r="D313" s="31">
        <v>2</v>
      </c>
      <c r="E313" s="3" t="str">
        <f>"DMC - XERACH / CAN BOBAS"</f>
        <v>DMC - XERACH / CAN BOBAS</v>
      </c>
      <c r="F313" s="2">
        <v>112</v>
      </c>
      <c r="G313" s="7">
        <v>5777.47</v>
      </c>
      <c r="H313" s="7">
        <v>5777.47</v>
      </c>
      <c r="I313" s="30" t="s">
        <v>9</v>
      </c>
      <c r="J313" s="31">
        <v>1</v>
      </c>
      <c r="K313" s="2"/>
      <c r="L313" s="1"/>
      <c r="M313" s="1"/>
      <c r="N313" s="2"/>
      <c r="P313" s="4"/>
      <c r="Q313" s="3"/>
      <c r="R313" s="2"/>
      <c r="S313" s="2"/>
    </row>
    <row r="314" spans="1:19" x14ac:dyDescent="0.25">
      <c r="A314" s="8">
        <v>45146</v>
      </c>
      <c r="B314" s="31" t="s">
        <v>52</v>
      </c>
      <c r="C314" s="33" t="s">
        <v>33</v>
      </c>
      <c r="D314" s="31">
        <v>2</v>
      </c>
      <c r="E314" s="3" t="str">
        <f>"DMC - C ART DANCE / FAC ECHEGA"</f>
        <v>DMC - C ART DANCE / FAC ECHEGA</v>
      </c>
      <c r="F314" s="2">
        <v>108</v>
      </c>
      <c r="G314" s="7">
        <v>5850.76</v>
      </c>
      <c r="H314" s="7">
        <v>5850.76</v>
      </c>
      <c r="I314" s="30" t="s">
        <v>9</v>
      </c>
      <c r="J314" s="31">
        <v>1</v>
      </c>
      <c r="K314" s="2"/>
      <c r="L314" s="1"/>
      <c r="M314" s="1"/>
      <c r="N314" s="2"/>
      <c r="P314" s="4"/>
      <c r="Q314" s="3"/>
      <c r="R314" s="2"/>
      <c r="S314" s="2"/>
    </row>
    <row r="315" spans="1:19" x14ac:dyDescent="0.25">
      <c r="A315" s="8">
        <v>45146</v>
      </c>
      <c r="B315" s="31" t="s">
        <v>52</v>
      </c>
      <c r="C315" s="33" t="s">
        <v>33</v>
      </c>
      <c r="D315" s="31">
        <v>2</v>
      </c>
      <c r="E315" s="3" t="str">
        <f>"DMC - BYPASS TEA / BLING"</f>
        <v>DMC - BYPASS TEA / BLING</v>
      </c>
      <c r="F315" s="2">
        <v>111</v>
      </c>
      <c r="G315" s="7">
        <v>6375.6</v>
      </c>
      <c r="H315" s="7">
        <v>6375.6</v>
      </c>
      <c r="I315" s="30" t="s">
        <v>9</v>
      </c>
      <c r="J315" s="31">
        <v>1</v>
      </c>
      <c r="K315" s="2"/>
      <c r="L315" s="1"/>
      <c r="M315" s="1"/>
      <c r="N315" s="2"/>
      <c r="P315" s="4"/>
      <c r="Q315" s="3"/>
      <c r="R315" s="2"/>
      <c r="S315" s="2"/>
    </row>
    <row r="316" spans="1:19" x14ac:dyDescent="0.25">
      <c r="A316" s="8">
        <v>45146</v>
      </c>
      <c r="B316" s="31" t="s">
        <v>52</v>
      </c>
      <c r="C316" s="33" t="s">
        <v>33</v>
      </c>
      <c r="D316" s="31">
        <v>2</v>
      </c>
      <c r="E316" s="3" t="str">
        <f>"DMC - LA FAM PROD / AMBULANT"</f>
        <v>DMC - LA FAM PROD / AMBULANT</v>
      </c>
      <c r="F316" s="2">
        <v>109</v>
      </c>
      <c r="G316" s="7">
        <v>8478.68</v>
      </c>
      <c r="H316" s="7">
        <v>8478.68</v>
      </c>
      <c r="I316" s="30" t="s">
        <v>9</v>
      </c>
      <c r="J316" s="31">
        <v>1</v>
      </c>
      <c r="K316" s="2"/>
      <c r="L316" s="1"/>
      <c r="M316" s="1"/>
      <c r="N316" s="2"/>
      <c r="P316" s="4"/>
      <c r="Q316" s="3"/>
      <c r="R316" s="2"/>
      <c r="S316" s="2"/>
    </row>
    <row r="317" spans="1:19" x14ac:dyDescent="0.25">
      <c r="A317" s="8">
        <v>45147</v>
      </c>
      <c r="B317" s="31" t="s">
        <v>14</v>
      </c>
      <c r="C317" s="33" t="s">
        <v>33</v>
      </c>
      <c r="D317" s="31">
        <v>1</v>
      </c>
      <c r="E317" s="3" t="str">
        <f>"ALCOIMA - CONC CASA GALICIA"</f>
        <v>ALCOIMA - CONC CASA GALICIA</v>
      </c>
      <c r="F317" s="2">
        <v>1293</v>
      </c>
      <c r="G317" s="7">
        <v>118.88</v>
      </c>
      <c r="H317" s="7">
        <v>118.88</v>
      </c>
      <c r="I317" s="30" t="s">
        <v>9</v>
      </c>
      <c r="J317" s="31">
        <v>1</v>
      </c>
      <c r="K317" s="2"/>
      <c r="L317" s="1"/>
      <c r="M317" s="1"/>
      <c r="N317" s="2"/>
      <c r="P317" s="4"/>
      <c r="Q317" s="3"/>
      <c r="R317" s="2"/>
      <c r="S317" s="2"/>
    </row>
    <row r="318" spans="1:19" x14ac:dyDescent="0.25">
      <c r="A318" s="8">
        <v>45147</v>
      </c>
      <c r="B318" s="31" t="s">
        <v>12</v>
      </c>
      <c r="C318" s="33" t="s">
        <v>32</v>
      </c>
      <c r="D318" s="31">
        <v>30</v>
      </c>
      <c r="E318" s="3" t="str">
        <f>"VISOR - JULIO RONDAS"</f>
        <v>VISOR - JULIO RONDAS</v>
      </c>
      <c r="F318" s="2">
        <v>892</v>
      </c>
      <c r="G318" s="7">
        <v>1117.57</v>
      </c>
      <c r="H318" s="7">
        <v>1117.57</v>
      </c>
      <c r="I318" s="30" t="s">
        <v>9</v>
      </c>
      <c r="J318" s="31">
        <v>1</v>
      </c>
      <c r="K318" s="2"/>
      <c r="L318" s="1"/>
      <c r="M318" s="1"/>
      <c r="N318" s="2"/>
      <c r="P318" s="4"/>
      <c r="Q318" s="3"/>
      <c r="R318" s="2"/>
      <c r="S318" s="2"/>
    </row>
    <row r="319" spans="1:19" x14ac:dyDescent="0.25">
      <c r="A319" s="8">
        <v>45147</v>
      </c>
      <c r="B319" s="31" t="s">
        <v>15</v>
      </c>
      <c r="C319" s="33" t="s">
        <v>32</v>
      </c>
      <c r="D319" s="31">
        <v>30</v>
      </c>
      <c r="E319" s="3" t="str">
        <f>"VISOR - JULIO RONDAS"</f>
        <v>VISOR - JULIO RONDAS</v>
      </c>
      <c r="F319" s="2">
        <v>893</v>
      </c>
      <c r="G319" s="7">
        <v>1117.57</v>
      </c>
      <c r="H319" s="7">
        <v>1117.57</v>
      </c>
      <c r="I319" s="30" t="s">
        <v>9</v>
      </c>
      <c r="J319" s="31">
        <v>1</v>
      </c>
      <c r="K319" s="2"/>
      <c r="L319" s="1"/>
      <c r="M319" s="1"/>
      <c r="N319" s="2"/>
      <c r="P319" s="4"/>
      <c r="Q319" s="3"/>
      <c r="R319" s="2"/>
      <c r="S319" s="2"/>
    </row>
    <row r="320" spans="1:19" x14ac:dyDescent="0.25">
      <c r="A320" s="8">
        <v>45147</v>
      </c>
      <c r="B320" s="31" t="s">
        <v>15</v>
      </c>
      <c r="C320" s="33" t="s">
        <v>32</v>
      </c>
      <c r="D320" s="31">
        <v>30</v>
      </c>
      <c r="E320" s="3" t="str">
        <f>"VISOR - JULIO VIGILANCIA"</f>
        <v>VISOR - JULIO VIGILANCIA</v>
      </c>
      <c r="F320" s="2">
        <v>881</v>
      </c>
      <c r="G320" s="7">
        <v>3294.33</v>
      </c>
      <c r="H320" s="7">
        <v>3294.33</v>
      </c>
      <c r="I320" s="30" t="s">
        <v>9</v>
      </c>
      <c r="J320" s="31">
        <v>1</v>
      </c>
      <c r="K320" s="2"/>
      <c r="L320" s="1"/>
      <c r="M320" s="1"/>
      <c r="N320" s="2"/>
      <c r="P320" s="4"/>
      <c r="Q320" s="3"/>
      <c r="R320" s="2"/>
      <c r="S320" s="2"/>
    </row>
    <row r="321" spans="1:19" x14ac:dyDescent="0.25">
      <c r="A321" s="8">
        <v>45147</v>
      </c>
      <c r="B321" s="31" t="s">
        <v>52</v>
      </c>
      <c r="C321" s="33" t="s">
        <v>33</v>
      </c>
      <c r="D321" s="31">
        <v>20</v>
      </c>
      <c r="E321" s="3" t="str">
        <f>"ALCOIMA - SANITARIO VALLAS"</f>
        <v>ALCOIMA - SANITARIO VALLAS</v>
      </c>
      <c r="F321" s="2">
        <v>1295</v>
      </c>
      <c r="G321" s="7">
        <v>6447.63</v>
      </c>
      <c r="H321" s="7">
        <v>6447.63</v>
      </c>
      <c r="I321" s="30" t="s">
        <v>9</v>
      </c>
      <c r="J321" s="31">
        <v>1</v>
      </c>
      <c r="K321" s="2"/>
      <c r="L321" s="1"/>
      <c r="M321" s="1"/>
      <c r="N321" s="2"/>
      <c r="P321" s="4"/>
      <c r="Q321" s="3"/>
      <c r="R321" s="2"/>
      <c r="S321" s="2"/>
    </row>
    <row r="322" spans="1:19" x14ac:dyDescent="0.25">
      <c r="A322" s="8">
        <v>45147</v>
      </c>
      <c r="B322" s="31" t="s">
        <v>39</v>
      </c>
      <c r="C322" s="33" t="s">
        <v>33</v>
      </c>
      <c r="D322" s="31">
        <v>30</v>
      </c>
      <c r="E322" s="3" t="str">
        <f>"ALCOIMA - VALLAS/ SANITARIO"</f>
        <v>ALCOIMA - VALLAS/ SANITARIO</v>
      </c>
      <c r="F322" s="2">
        <v>1294</v>
      </c>
      <c r="G322" s="7">
        <v>9941.35</v>
      </c>
      <c r="H322" s="7">
        <v>9941.35</v>
      </c>
      <c r="I322" s="30" t="s">
        <v>9</v>
      </c>
      <c r="J322" s="31">
        <v>1</v>
      </c>
      <c r="K322" s="2"/>
      <c r="L322" s="1"/>
      <c r="M322" s="1"/>
      <c r="N322" s="2"/>
      <c r="P322" s="4"/>
      <c r="Q322" s="3"/>
      <c r="R322" s="2"/>
      <c r="S322" s="2"/>
    </row>
    <row r="323" spans="1:19" x14ac:dyDescent="0.25">
      <c r="A323" s="8">
        <v>45148</v>
      </c>
      <c r="B323" s="31" t="s">
        <v>12</v>
      </c>
      <c r="C323" s="33" t="s">
        <v>20</v>
      </c>
      <c r="D323" s="31">
        <v>30</v>
      </c>
      <c r="E323" s="3" t="str">
        <f>"COSME ORTIZ - AGOST ALQ. LOC1º"</f>
        <v>COSME ORTIZ - AGOST ALQ. LOC1º</v>
      </c>
      <c r="F323" s="2">
        <v>91</v>
      </c>
      <c r="G323" s="7">
        <v>5280</v>
      </c>
      <c r="H323" s="7">
        <v>5280</v>
      </c>
      <c r="I323" s="30" t="s">
        <v>9</v>
      </c>
      <c r="J323" s="31">
        <v>1</v>
      </c>
      <c r="K323" s="2"/>
      <c r="L323" s="1"/>
      <c r="M323" s="1"/>
      <c r="N323" s="2"/>
      <c r="P323" s="4"/>
      <c r="Q323" s="3"/>
      <c r="R323" s="2"/>
      <c r="S323" s="2"/>
    </row>
    <row r="324" spans="1:19" x14ac:dyDescent="0.25">
      <c r="A324" s="8">
        <v>45149</v>
      </c>
      <c r="B324" s="31" t="s">
        <v>14</v>
      </c>
      <c r="C324" s="33" t="s">
        <v>32</v>
      </c>
      <c r="D324" s="31">
        <v>1</v>
      </c>
      <c r="E324" s="3" t="str">
        <f>"POWER 7 - CONC. CASA GALICIA"</f>
        <v>POWER 7 - CONC. CASA GALICIA</v>
      </c>
      <c r="F324" s="2">
        <v>65</v>
      </c>
      <c r="G324" s="7">
        <v>59.39</v>
      </c>
      <c r="H324" s="7">
        <v>59.39</v>
      </c>
      <c r="I324" s="30" t="s">
        <v>9</v>
      </c>
      <c r="J324" s="31">
        <v>1</v>
      </c>
      <c r="K324" s="2"/>
      <c r="L324" s="1"/>
      <c r="M324" s="1"/>
      <c r="N324" s="2"/>
      <c r="P324" s="4"/>
      <c r="Q324" s="3"/>
      <c r="R324" s="2"/>
      <c r="S324" s="2"/>
    </row>
    <row r="325" spans="1:19" x14ac:dyDescent="0.25">
      <c r="A325" s="8">
        <v>45149</v>
      </c>
      <c r="B325" s="31" t="s">
        <v>13</v>
      </c>
      <c r="C325" s="33" t="s">
        <v>27</v>
      </c>
      <c r="D325" s="31">
        <v>1</v>
      </c>
      <c r="E325" s="3" t="str">
        <f>"Mª DEL LORETO - OLA DE LETRAS"</f>
        <v>Mª DEL LORETO - OLA DE LETRAS</v>
      </c>
      <c r="F325" s="2">
        <v>6</v>
      </c>
      <c r="G325" s="7">
        <v>170</v>
      </c>
      <c r="H325" s="7">
        <v>170</v>
      </c>
      <c r="I325" s="30" t="s">
        <v>9</v>
      </c>
      <c r="J325" s="31">
        <v>1</v>
      </c>
      <c r="K325" s="2"/>
      <c r="L325" s="1"/>
      <c r="M325" s="1"/>
      <c r="N325" s="2"/>
      <c r="P325" s="4"/>
      <c r="Q325" s="3"/>
      <c r="R325" s="2"/>
      <c r="S325" s="2"/>
    </row>
    <row r="326" spans="1:19" x14ac:dyDescent="0.25">
      <c r="A326" s="8">
        <v>45149</v>
      </c>
      <c r="B326" s="31" t="s">
        <v>39</v>
      </c>
      <c r="C326" s="33" t="s">
        <v>64</v>
      </c>
      <c r="D326" s="31">
        <v>1</v>
      </c>
      <c r="E326" s="3" t="str">
        <f>"DAVID CABRERA-JURADO PREM.POES"</f>
        <v>DAVID CABRERA-JURADO PREM.POES</v>
      </c>
      <c r="F326" s="2">
        <v>6</v>
      </c>
      <c r="G326" s="7">
        <v>300</v>
      </c>
      <c r="H326" s="7">
        <v>300</v>
      </c>
      <c r="I326" s="30" t="s">
        <v>9</v>
      </c>
      <c r="J326" s="31">
        <v>1</v>
      </c>
      <c r="K326" s="2"/>
      <c r="L326" s="1"/>
      <c r="M326" s="1"/>
      <c r="N326" s="2"/>
      <c r="P326" s="4"/>
      <c r="Q326" s="3"/>
      <c r="R326" s="2"/>
      <c r="S326" s="2"/>
    </row>
    <row r="327" spans="1:19" x14ac:dyDescent="0.25">
      <c r="A327" s="8">
        <v>45149</v>
      </c>
      <c r="B327" s="31" t="s">
        <v>39</v>
      </c>
      <c r="C327" s="33" t="s">
        <v>29</v>
      </c>
      <c r="D327" s="31">
        <v>1</v>
      </c>
      <c r="E327" s="3" t="str">
        <f>"DAVID CABRERA-LIBRO PREM.POESI"</f>
        <v>DAVID CABRERA-LIBRO PREM.POESI</v>
      </c>
      <c r="F327" s="2">
        <v>7</v>
      </c>
      <c r="G327" s="7">
        <v>3075</v>
      </c>
      <c r="H327" s="7">
        <v>3075</v>
      </c>
      <c r="I327" s="30" t="s">
        <v>9</v>
      </c>
      <c r="J327" s="31">
        <v>1</v>
      </c>
      <c r="K327" s="2"/>
      <c r="L327" s="1"/>
      <c r="M327" s="1"/>
      <c r="N327" s="2"/>
      <c r="P327" s="4"/>
      <c r="Q327" s="3"/>
      <c r="R327" s="2"/>
      <c r="S327" s="2"/>
    </row>
    <row r="328" spans="1:19" x14ac:dyDescent="0.25">
      <c r="A328" s="8">
        <v>45152</v>
      </c>
      <c r="B328" s="31" t="s">
        <v>18</v>
      </c>
      <c r="C328" s="33" t="s">
        <v>22</v>
      </c>
      <c r="D328" s="31">
        <v>30</v>
      </c>
      <c r="E328" s="3" t="str">
        <f>"ENDESA XXI-JULIO QUEGLES"</f>
        <v>ENDESA XXI-JULIO QUEGLES</v>
      </c>
      <c r="F328" s="2">
        <v>14390</v>
      </c>
      <c r="G328" s="7">
        <v>33.44</v>
      </c>
      <c r="H328" s="7">
        <v>33.44</v>
      </c>
      <c r="I328" s="30" t="s">
        <v>9</v>
      </c>
      <c r="J328" s="31">
        <v>1</v>
      </c>
      <c r="K328" s="2"/>
      <c r="L328" s="1"/>
      <c r="M328" s="1"/>
      <c r="N328" s="2"/>
      <c r="P328" s="4"/>
      <c r="Q328" s="3"/>
      <c r="R328" s="2"/>
      <c r="S328" s="2"/>
    </row>
    <row r="329" spans="1:19" x14ac:dyDescent="0.25">
      <c r="A329" s="8">
        <v>45152</v>
      </c>
      <c r="B329" s="31" t="s">
        <v>12</v>
      </c>
      <c r="C329" s="33" t="s">
        <v>22</v>
      </c>
      <c r="D329" s="31">
        <v>30</v>
      </c>
      <c r="E329" s="3" t="str">
        <f>"ENDESA XXI-JULIO MOLINO MAGNOL"</f>
        <v>ENDESA XXI-JULIO MOLINO MAGNOL</v>
      </c>
      <c r="F329" s="2">
        <v>15896</v>
      </c>
      <c r="G329" s="7">
        <v>50.6</v>
      </c>
      <c r="H329" s="7">
        <v>50.6</v>
      </c>
      <c r="I329" s="30" t="s">
        <v>9</v>
      </c>
      <c r="J329" s="31">
        <v>1</v>
      </c>
      <c r="K329" s="2"/>
      <c r="L329" s="1"/>
      <c r="M329" s="1"/>
      <c r="N329" s="2"/>
      <c r="P329" s="4"/>
      <c r="Q329" s="3"/>
      <c r="R329" s="2"/>
      <c r="S329" s="2"/>
    </row>
    <row r="330" spans="1:19" x14ac:dyDescent="0.25">
      <c r="A330" s="8">
        <v>45152</v>
      </c>
      <c r="B330" s="31" t="s">
        <v>13</v>
      </c>
      <c r="C330" s="33" t="s">
        <v>27</v>
      </c>
      <c r="D330" s="31">
        <v>1</v>
      </c>
      <c r="E330" s="3" t="str">
        <f>"FANNY M. FUGUET - OLA DE LETRA"</f>
        <v>FANNY M. FUGUET - OLA DE LETRA</v>
      </c>
      <c r="F330" s="2">
        <v>36</v>
      </c>
      <c r="G330" s="7">
        <v>212.5</v>
      </c>
      <c r="H330" s="7">
        <v>212.5</v>
      </c>
      <c r="I330" s="30" t="s">
        <v>9</v>
      </c>
      <c r="J330" s="31">
        <v>1</v>
      </c>
      <c r="K330" s="2"/>
      <c r="L330" s="1"/>
      <c r="M330" s="1"/>
      <c r="N330" s="2"/>
      <c r="P330" s="4"/>
      <c r="Q330" s="3"/>
      <c r="R330" s="2"/>
      <c r="S330" s="2"/>
    </row>
    <row r="331" spans="1:19" x14ac:dyDescent="0.25">
      <c r="A331" s="8">
        <v>45152</v>
      </c>
      <c r="B331" s="31" t="s">
        <v>13</v>
      </c>
      <c r="C331" s="33" t="s">
        <v>27</v>
      </c>
      <c r="D331" s="31">
        <v>1</v>
      </c>
      <c r="E331" s="3" t="str">
        <f>"ACTURA ARTE Y COM - VIRGINIA D"</f>
        <v>ACTURA ARTE Y COM - VIRGINIA D</v>
      </c>
      <c r="F331" s="2">
        <v>7685</v>
      </c>
      <c r="G331" s="7">
        <v>420</v>
      </c>
      <c r="H331" s="7">
        <v>420</v>
      </c>
      <c r="I331" s="30" t="s">
        <v>9</v>
      </c>
      <c r="J331" s="31">
        <v>1</v>
      </c>
      <c r="K331" s="2"/>
      <c r="L331" s="1"/>
      <c r="M331" s="1"/>
      <c r="N331" s="2"/>
      <c r="P331" s="4"/>
      <c r="Q331" s="3"/>
      <c r="R331" s="2"/>
      <c r="S331" s="2"/>
    </row>
    <row r="332" spans="1:19" x14ac:dyDescent="0.25">
      <c r="A332" s="8">
        <v>45152</v>
      </c>
      <c r="B332" s="31" t="s">
        <v>52</v>
      </c>
      <c r="C332" s="33" t="s">
        <v>33</v>
      </c>
      <c r="D332" s="31">
        <v>10</v>
      </c>
      <c r="E332" s="3" t="str">
        <f>"SERV. AUD. OVERON - PROD."</f>
        <v>SERV. AUD. OVERON - PROD.</v>
      </c>
      <c r="F332" s="2">
        <v>105859</v>
      </c>
      <c r="G332" s="7">
        <v>4665</v>
      </c>
      <c r="H332" s="7">
        <v>4665</v>
      </c>
      <c r="I332" s="30" t="s">
        <v>9</v>
      </c>
      <c r="J332" s="31">
        <v>1</v>
      </c>
      <c r="K332" s="2"/>
      <c r="L332" s="1"/>
      <c r="M332" s="1"/>
      <c r="N332" s="2"/>
      <c r="P332" s="4"/>
      <c r="Q332" s="3"/>
      <c r="R332" s="2"/>
      <c r="S332" s="2"/>
    </row>
    <row r="333" spans="1:19" x14ac:dyDescent="0.25">
      <c r="A333" s="8">
        <v>45154</v>
      </c>
      <c r="B333" s="31" t="s">
        <v>11</v>
      </c>
      <c r="C333" s="33" t="s">
        <v>55</v>
      </c>
      <c r="D333" s="31">
        <v>30</v>
      </c>
      <c r="E333" s="3" t="str">
        <f>"TELEF.MOVILES-JULIO OTROS OPER"</f>
        <v>TELEF.MOVILES-JULIO OTROS OPER</v>
      </c>
      <c r="F333" s="2">
        <v>381609</v>
      </c>
      <c r="G333" s="7">
        <v>3.9</v>
      </c>
      <c r="H333" s="7">
        <v>3.9</v>
      </c>
      <c r="I333" s="30" t="s">
        <v>9</v>
      </c>
      <c r="J333" s="31">
        <v>1</v>
      </c>
      <c r="K333" s="2"/>
      <c r="L333" s="1"/>
      <c r="M333" s="1"/>
      <c r="N333" s="2"/>
      <c r="P333" s="4"/>
      <c r="Q333" s="3"/>
      <c r="R333" s="2"/>
      <c r="S333" s="2"/>
    </row>
    <row r="334" spans="1:19" x14ac:dyDescent="0.25">
      <c r="A334" s="8">
        <v>45154</v>
      </c>
      <c r="B334" s="31" t="s">
        <v>50</v>
      </c>
      <c r="C334" s="33" t="s">
        <v>65</v>
      </c>
      <c r="D334" s="31">
        <v>15</v>
      </c>
      <c r="E334" s="3" t="str">
        <f>"GOURMET DESOUZA COMIDAS CINE"</f>
        <v>GOURMET DESOUZA COMIDAS CINE</v>
      </c>
      <c r="F334" s="2">
        <v>2</v>
      </c>
      <c r="G334" s="7">
        <v>995</v>
      </c>
      <c r="H334" s="7">
        <v>995</v>
      </c>
      <c r="I334" s="30" t="s">
        <v>9</v>
      </c>
      <c r="J334" s="31">
        <v>1</v>
      </c>
      <c r="K334" s="2"/>
      <c r="L334" s="1"/>
      <c r="M334" s="1"/>
      <c r="N334" s="2"/>
      <c r="P334" s="4"/>
      <c r="Q334" s="3"/>
      <c r="R334" s="2"/>
      <c r="S334" s="2"/>
    </row>
    <row r="335" spans="1:19" x14ac:dyDescent="0.25">
      <c r="A335" s="8">
        <v>45154</v>
      </c>
      <c r="B335" s="31" t="s">
        <v>50</v>
      </c>
      <c r="C335" s="33" t="s">
        <v>65</v>
      </c>
      <c r="D335" s="31">
        <v>15</v>
      </c>
      <c r="E335" s="3" t="str">
        <f>"ACCO RESTAURANTE COMID CINE"</f>
        <v>ACCO RESTAURANTE COMID CINE</v>
      </c>
      <c r="F335" s="2">
        <v>1</v>
      </c>
      <c r="G335" s="7">
        <v>2199</v>
      </c>
      <c r="H335" s="7">
        <v>2199</v>
      </c>
      <c r="I335" s="30" t="s">
        <v>9</v>
      </c>
      <c r="J335" s="31">
        <v>1</v>
      </c>
      <c r="K335" s="2"/>
      <c r="L335" s="1"/>
      <c r="M335" s="1"/>
      <c r="N335" s="2"/>
      <c r="P335" s="4"/>
      <c r="Q335" s="3"/>
      <c r="R335" s="2"/>
      <c r="S335" s="2"/>
    </row>
    <row r="336" spans="1:19" x14ac:dyDescent="0.25">
      <c r="A336" s="8">
        <v>45154</v>
      </c>
      <c r="B336" s="31" t="s">
        <v>50</v>
      </c>
      <c r="C336" s="33" t="s">
        <v>65</v>
      </c>
      <c r="D336" s="31">
        <v>15</v>
      </c>
      <c r="E336" s="3" t="str">
        <f>"SOLIRRAIZ COMIDAS FEST CINE"</f>
        <v>SOLIRRAIZ COMIDAS FEST CINE</v>
      </c>
      <c r="F336" s="2">
        <v>2</v>
      </c>
      <c r="G336" s="7">
        <v>2602.2399999999998</v>
      </c>
      <c r="H336" s="7">
        <v>2602.2399999999998</v>
      </c>
      <c r="I336" s="30" t="s">
        <v>9</v>
      </c>
      <c r="J336" s="31">
        <v>1</v>
      </c>
      <c r="K336" s="2"/>
      <c r="L336" s="1"/>
      <c r="M336" s="1"/>
      <c r="N336" s="2"/>
      <c r="P336" s="4"/>
      <c r="Q336" s="3"/>
      <c r="R336" s="2"/>
      <c r="S336" s="2"/>
    </row>
    <row r="337" spans="1:19" x14ac:dyDescent="0.25">
      <c r="A337" s="8">
        <v>45154</v>
      </c>
      <c r="B337" s="31" t="s">
        <v>50</v>
      </c>
      <c r="C337" s="33" t="s">
        <v>65</v>
      </c>
      <c r="D337" s="31">
        <v>15</v>
      </c>
      <c r="E337" s="3" t="str">
        <f>"CARMEN ROSA RGUEZ STANA COMIDA"</f>
        <v>CARMEN ROSA RGUEZ STANA COMIDA</v>
      </c>
      <c r="F337" s="2">
        <v>9</v>
      </c>
      <c r="G337" s="7">
        <v>3293</v>
      </c>
      <c r="H337" s="7">
        <v>3293</v>
      </c>
      <c r="I337" s="30" t="s">
        <v>9</v>
      </c>
      <c r="J337" s="31">
        <v>1</v>
      </c>
      <c r="K337" s="2"/>
      <c r="L337" s="1"/>
      <c r="M337" s="1"/>
      <c r="N337" s="2"/>
      <c r="P337" s="4"/>
      <c r="Q337" s="3"/>
      <c r="R337" s="2"/>
      <c r="S337" s="2"/>
    </row>
    <row r="338" spans="1:19" x14ac:dyDescent="0.25">
      <c r="A338" s="8">
        <v>45159</v>
      </c>
      <c r="B338" s="31" t="s">
        <v>11</v>
      </c>
      <c r="C338" s="33" t="s">
        <v>55</v>
      </c>
      <c r="D338" s="31">
        <v>30</v>
      </c>
      <c r="E338" s="3" t="str">
        <f t="shared" ref="E338:E375" si="1">"TELEFONICA- JULIO FIJO"</f>
        <v>TELEFONICA- JULIO FIJO</v>
      </c>
      <c r="F338" s="2">
        <v>327584</v>
      </c>
      <c r="G338" s="7">
        <v>15.69</v>
      </c>
      <c r="H338" s="7">
        <v>15.69</v>
      </c>
      <c r="I338" s="30" t="s">
        <v>9</v>
      </c>
      <c r="J338" s="31">
        <v>1</v>
      </c>
      <c r="K338" s="2"/>
      <c r="L338" s="1"/>
      <c r="M338" s="1"/>
      <c r="N338" s="2"/>
      <c r="P338" s="4"/>
      <c r="Q338" s="3"/>
      <c r="R338" s="2"/>
      <c r="S338" s="2"/>
    </row>
    <row r="339" spans="1:19" x14ac:dyDescent="0.25">
      <c r="A339" s="8">
        <v>45159</v>
      </c>
      <c r="B339" s="31" t="s">
        <v>11</v>
      </c>
      <c r="C339" s="33" t="s">
        <v>55</v>
      </c>
      <c r="D339" s="31">
        <v>30</v>
      </c>
      <c r="E339" s="3" t="str">
        <f t="shared" si="1"/>
        <v>TELEFONICA- JULIO FIJO</v>
      </c>
      <c r="F339" s="2">
        <v>327644</v>
      </c>
      <c r="G339" s="7">
        <v>17.28</v>
      </c>
      <c r="H339" s="7">
        <v>17.28</v>
      </c>
      <c r="I339" s="30" t="s">
        <v>9</v>
      </c>
      <c r="J339" s="31">
        <v>1</v>
      </c>
      <c r="K339" s="2"/>
      <c r="L339" s="1"/>
      <c r="M339" s="1"/>
      <c r="N339" s="2"/>
      <c r="P339" s="4"/>
      <c r="Q339" s="3"/>
      <c r="R339" s="2"/>
      <c r="S339" s="2"/>
    </row>
    <row r="340" spans="1:19" x14ac:dyDescent="0.25">
      <c r="A340" s="8">
        <v>45159</v>
      </c>
      <c r="B340" s="31" t="s">
        <v>11</v>
      </c>
      <c r="C340" s="33" t="s">
        <v>55</v>
      </c>
      <c r="D340" s="31">
        <v>30</v>
      </c>
      <c r="E340" s="3" t="str">
        <f t="shared" si="1"/>
        <v>TELEFONICA- JULIO FIJO</v>
      </c>
      <c r="F340" s="2">
        <v>327642</v>
      </c>
      <c r="G340" s="7">
        <v>23.34</v>
      </c>
      <c r="H340" s="7">
        <v>23.34</v>
      </c>
      <c r="I340" s="30" t="s">
        <v>9</v>
      </c>
      <c r="J340" s="31">
        <v>1</v>
      </c>
      <c r="K340" s="2"/>
      <c r="L340" s="1"/>
      <c r="M340" s="1"/>
      <c r="N340" s="2"/>
      <c r="P340" s="4"/>
      <c r="Q340" s="3"/>
      <c r="R340" s="2"/>
      <c r="S340" s="2"/>
    </row>
    <row r="341" spans="1:19" x14ac:dyDescent="0.25">
      <c r="A341" s="8">
        <v>45159</v>
      </c>
      <c r="B341" s="31" t="s">
        <v>11</v>
      </c>
      <c r="C341" s="33" t="s">
        <v>55</v>
      </c>
      <c r="D341" s="31">
        <v>30</v>
      </c>
      <c r="E341" s="3" t="str">
        <f t="shared" si="1"/>
        <v>TELEFONICA- JULIO FIJO</v>
      </c>
      <c r="F341" s="2">
        <v>327606</v>
      </c>
      <c r="G341" s="7">
        <v>40.04</v>
      </c>
      <c r="H341" s="7">
        <v>40.04</v>
      </c>
      <c r="I341" s="30" t="s">
        <v>9</v>
      </c>
      <c r="J341" s="31">
        <v>1</v>
      </c>
      <c r="K341" s="2"/>
      <c r="L341" s="1"/>
      <c r="M341" s="1"/>
      <c r="N341" s="2"/>
      <c r="P341" s="4"/>
      <c r="Q341" s="3"/>
      <c r="R341" s="2"/>
      <c r="S341" s="2"/>
    </row>
    <row r="342" spans="1:19" x14ac:dyDescent="0.25">
      <c r="A342" s="8">
        <v>45159</v>
      </c>
      <c r="B342" s="31" t="s">
        <v>11</v>
      </c>
      <c r="C342" s="33" t="s">
        <v>55</v>
      </c>
      <c r="D342" s="31">
        <v>30</v>
      </c>
      <c r="E342" s="3" t="str">
        <f t="shared" si="1"/>
        <v>TELEFONICA- JULIO FIJO</v>
      </c>
      <c r="F342" s="2">
        <v>327605</v>
      </c>
      <c r="G342" s="7">
        <v>40.04</v>
      </c>
      <c r="H342" s="7">
        <v>40.04</v>
      </c>
      <c r="I342" s="30" t="s">
        <v>9</v>
      </c>
      <c r="J342" s="31">
        <v>1</v>
      </c>
      <c r="K342" s="2"/>
      <c r="L342" s="1"/>
      <c r="M342" s="1"/>
      <c r="N342" s="2"/>
      <c r="P342" s="4"/>
      <c r="Q342" s="3"/>
      <c r="R342" s="2"/>
      <c r="S342" s="2"/>
    </row>
    <row r="343" spans="1:19" x14ac:dyDescent="0.25">
      <c r="A343" s="8">
        <v>45159</v>
      </c>
      <c r="B343" s="31" t="s">
        <v>11</v>
      </c>
      <c r="C343" s="33" t="s">
        <v>55</v>
      </c>
      <c r="D343" s="31">
        <v>30</v>
      </c>
      <c r="E343" s="3" t="str">
        <f t="shared" si="1"/>
        <v>TELEFONICA- JULIO FIJO</v>
      </c>
      <c r="F343" s="2">
        <v>327603</v>
      </c>
      <c r="G343" s="7">
        <v>40.04</v>
      </c>
      <c r="H343" s="7">
        <v>40.04</v>
      </c>
      <c r="I343" s="30" t="s">
        <v>9</v>
      </c>
      <c r="J343" s="31">
        <v>1</v>
      </c>
      <c r="K343" s="2"/>
      <c r="L343" s="1"/>
      <c r="M343" s="1"/>
      <c r="N343" s="2"/>
      <c r="P343" s="4"/>
      <c r="Q343" s="3"/>
      <c r="R343" s="2"/>
      <c r="S343" s="2"/>
    </row>
    <row r="344" spans="1:19" x14ac:dyDescent="0.25">
      <c r="A344" s="8">
        <v>45159</v>
      </c>
      <c r="B344" s="31" t="s">
        <v>11</v>
      </c>
      <c r="C344" s="33" t="s">
        <v>55</v>
      </c>
      <c r="D344" s="31">
        <v>30</v>
      </c>
      <c r="E344" s="3" t="str">
        <f t="shared" si="1"/>
        <v>TELEFONICA- JULIO FIJO</v>
      </c>
      <c r="F344" s="2">
        <v>327602</v>
      </c>
      <c r="G344" s="7">
        <v>40.04</v>
      </c>
      <c r="H344" s="7">
        <v>40.04</v>
      </c>
      <c r="I344" s="30" t="s">
        <v>9</v>
      </c>
      <c r="J344" s="31">
        <v>1</v>
      </c>
      <c r="K344" s="2"/>
      <c r="L344" s="1"/>
      <c r="M344" s="1"/>
      <c r="N344" s="2"/>
      <c r="P344" s="4"/>
      <c r="Q344" s="3"/>
      <c r="R344" s="2"/>
      <c r="S344" s="2"/>
    </row>
    <row r="345" spans="1:19" x14ac:dyDescent="0.25">
      <c r="A345" s="8">
        <v>45159</v>
      </c>
      <c r="B345" s="31" t="s">
        <v>11</v>
      </c>
      <c r="C345" s="33" t="s">
        <v>55</v>
      </c>
      <c r="D345" s="31">
        <v>30</v>
      </c>
      <c r="E345" s="3" t="str">
        <f t="shared" si="1"/>
        <v>TELEFONICA- JULIO FIJO</v>
      </c>
      <c r="F345" s="2">
        <v>327601</v>
      </c>
      <c r="G345" s="7">
        <v>40.04</v>
      </c>
      <c r="H345" s="7">
        <v>40.04</v>
      </c>
      <c r="I345" s="30" t="s">
        <v>9</v>
      </c>
      <c r="J345" s="31">
        <v>1</v>
      </c>
      <c r="K345" s="2"/>
      <c r="L345" s="1"/>
      <c r="M345" s="1"/>
      <c r="N345" s="2"/>
      <c r="P345" s="4"/>
      <c r="Q345" s="3"/>
      <c r="R345" s="2"/>
      <c r="S345" s="2"/>
    </row>
    <row r="346" spans="1:19" x14ac:dyDescent="0.25">
      <c r="A346" s="8">
        <v>45159</v>
      </c>
      <c r="B346" s="31" t="s">
        <v>11</v>
      </c>
      <c r="C346" s="33" t="s">
        <v>55</v>
      </c>
      <c r="D346" s="31">
        <v>30</v>
      </c>
      <c r="E346" s="3" t="str">
        <f t="shared" si="1"/>
        <v>TELEFONICA- JULIO FIJO</v>
      </c>
      <c r="F346" s="2">
        <v>327607</v>
      </c>
      <c r="G346" s="7">
        <v>44.73</v>
      </c>
      <c r="H346" s="7">
        <v>44.73</v>
      </c>
      <c r="I346" s="30" t="s">
        <v>9</v>
      </c>
      <c r="J346" s="31">
        <v>1</v>
      </c>
      <c r="K346" s="2"/>
      <c r="L346" s="1"/>
      <c r="M346" s="1"/>
      <c r="N346" s="2"/>
      <c r="P346" s="4"/>
      <c r="Q346" s="3"/>
      <c r="R346" s="2"/>
      <c r="S346" s="2"/>
    </row>
    <row r="347" spans="1:19" x14ac:dyDescent="0.25">
      <c r="A347" s="8">
        <v>45159</v>
      </c>
      <c r="B347" s="31" t="s">
        <v>11</v>
      </c>
      <c r="C347" s="33" t="s">
        <v>55</v>
      </c>
      <c r="D347" s="31">
        <v>30</v>
      </c>
      <c r="E347" s="3" t="str">
        <f t="shared" si="1"/>
        <v>TELEFONICA- JULIO FIJO</v>
      </c>
      <c r="F347" s="2">
        <v>327576</v>
      </c>
      <c r="G347" s="7">
        <v>45.1</v>
      </c>
      <c r="H347" s="7">
        <v>45.1</v>
      </c>
      <c r="I347" s="30" t="s">
        <v>9</v>
      </c>
      <c r="J347" s="31">
        <v>1</v>
      </c>
      <c r="K347" s="2"/>
      <c r="L347" s="1"/>
      <c r="M347" s="1"/>
      <c r="N347" s="2"/>
      <c r="P347" s="4"/>
      <c r="Q347" s="3"/>
      <c r="R347" s="2"/>
      <c r="S347" s="2"/>
    </row>
    <row r="348" spans="1:19" x14ac:dyDescent="0.25">
      <c r="A348" s="8">
        <v>45159</v>
      </c>
      <c r="B348" s="31" t="s">
        <v>11</v>
      </c>
      <c r="C348" s="33" t="s">
        <v>55</v>
      </c>
      <c r="D348" s="31">
        <v>30</v>
      </c>
      <c r="E348" s="3" t="str">
        <f t="shared" si="1"/>
        <v>TELEFONICA- JULIO FIJO</v>
      </c>
      <c r="F348" s="2">
        <v>327583</v>
      </c>
      <c r="G348" s="7">
        <v>45.98</v>
      </c>
      <c r="H348" s="7">
        <v>45.98</v>
      </c>
      <c r="I348" s="30" t="s">
        <v>9</v>
      </c>
      <c r="J348" s="31">
        <v>1</v>
      </c>
      <c r="K348" s="2"/>
      <c r="L348" s="1"/>
      <c r="M348" s="1"/>
      <c r="N348" s="2"/>
      <c r="P348" s="4"/>
      <c r="Q348" s="3"/>
      <c r="R348" s="2"/>
      <c r="S348" s="2"/>
    </row>
    <row r="349" spans="1:19" x14ac:dyDescent="0.25">
      <c r="A349" s="8">
        <v>45159</v>
      </c>
      <c r="B349" s="31" t="s">
        <v>11</v>
      </c>
      <c r="C349" s="33" t="s">
        <v>55</v>
      </c>
      <c r="D349" s="31">
        <v>30</v>
      </c>
      <c r="E349" s="3" t="str">
        <f t="shared" si="1"/>
        <v>TELEFONICA- JULIO FIJO</v>
      </c>
      <c r="F349" s="2">
        <v>327592</v>
      </c>
      <c r="G349" s="7">
        <v>57.74</v>
      </c>
      <c r="H349" s="7">
        <v>57.74</v>
      </c>
      <c r="I349" s="30" t="s">
        <v>9</v>
      </c>
      <c r="J349" s="31">
        <v>1</v>
      </c>
      <c r="K349" s="2"/>
      <c r="L349" s="1"/>
      <c r="M349" s="1"/>
      <c r="N349" s="2"/>
      <c r="P349" s="4"/>
      <c r="Q349" s="3"/>
      <c r="R349" s="2"/>
      <c r="S349" s="2"/>
    </row>
    <row r="350" spans="1:19" x14ac:dyDescent="0.25">
      <c r="A350" s="8">
        <v>45159</v>
      </c>
      <c r="B350" s="31" t="s">
        <v>11</v>
      </c>
      <c r="C350" s="33" t="s">
        <v>55</v>
      </c>
      <c r="D350" s="31">
        <v>30</v>
      </c>
      <c r="E350" s="3" t="str">
        <f t="shared" si="1"/>
        <v>TELEFONICA- JULIO FIJO</v>
      </c>
      <c r="F350" s="2">
        <v>327591</v>
      </c>
      <c r="G350" s="7">
        <v>57.74</v>
      </c>
      <c r="H350" s="7">
        <v>57.74</v>
      </c>
      <c r="I350" s="30" t="s">
        <v>9</v>
      </c>
      <c r="J350" s="31">
        <v>1</v>
      </c>
      <c r="K350" s="2"/>
      <c r="L350" s="1"/>
      <c r="M350" s="1"/>
      <c r="N350" s="2"/>
      <c r="P350" s="4"/>
      <c r="Q350" s="3"/>
      <c r="R350" s="2"/>
      <c r="S350" s="2"/>
    </row>
    <row r="351" spans="1:19" x14ac:dyDescent="0.25">
      <c r="A351" s="8">
        <v>45159</v>
      </c>
      <c r="B351" s="31" t="s">
        <v>11</v>
      </c>
      <c r="C351" s="33" t="s">
        <v>55</v>
      </c>
      <c r="D351" s="31">
        <v>30</v>
      </c>
      <c r="E351" s="3" t="str">
        <f t="shared" si="1"/>
        <v>TELEFONICA- JULIO FIJO</v>
      </c>
      <c r="F351" s="2">
        <v>327590</v>
      </c>
      <c r="G351" s="7">
        <v>57.74</v>
      </c>
      <c r="H351" s="7">
        <v>57.74</v>
      </c>
      <c r="I351" s="30" t="s">
        <v>9</v>
      </c>
      <c r="J351" s="31">
        <v>1</v>
      </c>
      <c r="K351" s="2"/>
      <c r="L351" s="1"/>
      <c r="M351" s="1"/>
      <c r="N351" s="2"/>
      <c r="P351" s="4"/>
      <c r="Q351" s="3"/>
      <c r="R351" s="2"/>
      <c r="S351" s="2"/>
    </row>
    <row r="352" spans="1:19" ht="14.5" x14ac:dyDescent="0.35">
      <c r="A352" s="8">
        <v>45159</v>
      </c>
      <c r="B352" s="31" t="s">
        <v>11</v>
      </c>
      <c r="C352" s="33" t="s">
        <v>55</v>
      </c>
      <c r="D352" s="31">
        <v>30</v>
      </c>
      <c r="E352" s="3" t="str">
        <f t="shared" si="1"/>
        <v>TELEFONICA- JULIO FIJO</v>
      </c>
      <c r="F352" s="2">
        <v>327593</v>
      </c>
      <c r="G352" s="7">
        <v>57.74</v>
      </c>
      <c r="H352" s="7">
        <v>57.74</v>
      </c>
      <c r="I352" s="30" t="s">
        <v>9</v>
      </c>
      <c r="J352" s="31">
        <v>1</v>
      </c>
      <c r="K352" s="2"/>
      <c r="L352" s="1"/>
      <c r="M352" s="1"/>
      <c r="N352"/>
      <c r="P352" s="4"/>
      <c r="Q352" s="3"/>
      <c r="R352" s="2"/>
      <c r="S352" s="2"/>
    </row>
    <row r="353" spans="1:19" x14ac:dyDescent="0.25">
      <c r="A353" s="8">
        <v>45159</v>
      </c>
      <c r="B353" s="31" t="s">
        <v>11</v>
      </c>
      <c r="C353" s="33" t="s">
        <v>55</v>
      </c>
      <c r="D353" s="31">
        <v>30</v>
      </c>
      <c r="E353" s="3" t="str">
        <f t="shared" si="1"/>
        <v>TELEFONICA- JULIO FIJO</v>
      </c>
      <c r="F353" s="2">
        <v>327599</v>
      </c>
      <c r="G353" s="7">
        <v>62.25</v>
      </c>
      <c r="H353" s="7">
        <v>62.25</v>
      </c>
      <c r="I353" s="30" t="s">
        <v>9</v>
      </c>
      <c r="J353" s="31">
        <v>1</v>
      </c>
      <c r="K353" s="2"/>
      <c r="L353" s="1"/>
      <c r="M353" s="1"/>
      <c r="N353" s="2"/>
      <c r="P353" s="4"/>
      <c r="Q353" s="3"/>
      <c r="R353" s="2"/>
      <c r="S353" s="2"/>
    </row>
    <row r="354" spans="1:19" x14ac:dyDescent="0.25">
      <c r="A354" s="8">
        <v>45159</v>
      </c>
      <c r="B354" s="31" t="s">
        <v>11</v>
      </c>
      <c r="C354" s="33" t="s">
        <v>55</v>
      </c>
      <c r="D354" s="31">
        <v>30</v>
      </c>
      <c r="E354" s="3" t="str">
        <f t="shared" si="1"/>
        <v>TELEFONICA- JULIO FIJO</v>
      </c>
      <c r="F354" s="2">
        <v>327588</v>
      </c>
      <c r="G354" s="7">
        <v>62.25</v>
      </c>
      <c r="H354" s="7">
        <v>62.25</v>
      </c>
      <c r="I354" s="30" t="s">
        <v>9</v>
      </c>
      <c r="J354" s="31">
        <v>1</v>
      </c>
      <c r="K354" s="2"/>
      <c r="L354" s="1"/>
      <c r="M354" s="1"/>
      <c r="N354" s="2"/>
      <c r="P354" s="4"/>
      <c r="Q354" s="3"/>
      <c r="R354" s="2"/>
      <c r="S354" s="2"/>
    </row>
    <row r="355" spans="1:19" x14ac:dyDescent="0.25">
      <c r="A355" s="8">
        <v>45159</v>
      </c>
      <c r="B355" s="31" t="s">
        <v>11</v>
      </c>
      <c r="C355" s="33" t="s">
        <v>55</v>
      </c>
      <c r="D355" s="31">
        <v>30</v>
      </c>
      <c r="E355" s="3" t="str">
        <f t="shared" si="1"/>
        <v>TELEFONICA- JULIO FIJO</v>
      </c>
      <c r="F355" s="2">
        <v>327597</v>
      </c>
      <c r="G355" s="7">
        <v>66.59</v>
      </c>
      <c r="H355" s="7">
        <v>66.59</v>
      </c>
      <c r="I355" s="30" t="s">
        <v>9</v>
      </c>
      <c r="J355" s="31">
        <v>1</v>
      </c>
      <c r="K355" s="2"/>
      <c r="L355" s="1"/>
      <c r="M355" s="1"/>
      <c r="N355" s="2"/>
      <c r="P355" s="4"/>
      <c r="Q355" s="3"/>
      <c r="R355" s="2"/>
      <c r="S355" s="2"/>
    </row>
    <row r="356" spans="1:19" x14ac:dyDescent="0.25">
      <c r="A356" s="8">
        <v>45159</v>
      </c>
      <c r="B356" s="31" t="s">
        <v>11</v>
      </c>
      <c r="C356" s="33" t="s">
        <v>55</v>
      </c>
      <c r="D356" s="31">
        <v>30</v>
      </c>
      <c r="E356" s="3" t="str">
        <f t="shared" si="1"/>
        <v>TELEFONICA- JULIO FIJO</v>
      </c>
      <c r="F356" s="2">
        <v>327594</v>
      </c>
      <c r="G356" s="7">
        <v>66.59</v>
      </c>
      <c r="H356" s="7">
        <v>66.59</v>
      </c>
      <c r="I356" s="30" t="s">
        <v>9</v>
      </c>
      <c r="J356" s="31">
        <v>1</v>
      </c>
      <c r="K356" s="2"/>
      <c r="L356" s="1"/>
      <c r="M356" s="1"/>
      <c r="N356" s="2"/>
      <c r="P356" s="4"/>
      <c r="Q356" s="3"/>
      <c r="R356" s="2"/>
      <c r="S356" s="2"/>
    </row>
    <row r="357" spans="1:19" x14ac:dyDescent="0.25">
      <c r="A357" s="8">
        <v>45159</v>
      </c>
      <c r="B357" s="31" t="s">
        <v>11</v>
      </c>
      <c r="C357" s="33" t="s">
        <v>55</v>
      </c>
      <c r="D357" s="31">
        <v>30</v>
      </c>
      <c r="E357" s="3" t="str">
        <f t="shared" si="1"/>
        <v>TELEFONICA- JULIO FIJO</v>
      </c>
      <c r="F357" s="2">
        <v>327589</v>
      </c>
      <c r="G357" s="7">
        <v>66.59</v>
      </c>
      <c r="H357" s="7">
        <v>66.59</v>
      </c>
      <c r="I357" s="30" t="s">
        <v>9</v>
      </c>
      <c r="J357" s="31">
        <v>1</v>
      </c>
      <c r="K357" s="2"/>
      <c r="L357" s="1"/>
      <c r="M357" s="1"/>
      <c r="N357" s="2"/>
      <c r="P357" s="4"/>
      <c r="Q357" s="3"/>
      <c r="R357" s="2"/>
      <c r="S357" s="2"/>
    </row>
    <row r="358" spans="1:19" x14ac:dyDescent="0.25">
      <c r="A358" s="8">
        <v>45159</v>
      </c>
      <c r="B358" s="31" t="s">
        <v>11</v>
      </c>
      <c r="C358" s="33" t="s">
        <v>55</v>
      </c>
      <c r="D358" s="31">
        <v>30</v>
      </c>
      <c r="E358" s="3" t="str">
        <f t="shared" si="1"/>
        <v>TELEFONICA- JULIO FIJO</v>
      </c>
      <c r="F358" s="2">
        <v>327585</v>
      </c>
      <c r="G358" s="7">
        <v>66.59</v>
      </c>
      <c r="H358" s="7">
        <v>66.59</v>
      </c>
      <c r="I358" s="30" t="s">
        <v>9</v>
      </c>
      <c r="J358" s="31">
        <v>1</v>
      </c>
      <c r="K358" s="2"/>
      <c r="L358" s="1"/>
      <c r="M358" s="1"/>
      <c r="N358" s="2"/>
      <c r="P358" s="4"/>
      <c r="Q358" s="3"/>
      <c r="R358" s="2"/>
      <c r="S358" s="2"/>
    </row>
    <row r="359" spans="1:19" x14ac:dyDescent="0.25">
      <c r="A359" s="8">
        <v>45159</v>
      </c>
      <c r="B359" s="31" t="s">
        <v>11</v>
      </c>
      <c r="C359" s="33" t="s">
        <v>55</v>
      </c>
      <c r="D359" s="31">
        <v>30</v>
      </c>
      <c r="E359" s="3" t="str">
        <f t="shared" si="1"/>
        <v>TELEFONICA- JULIO FIJO</v>
      </c>
      <c r="F359" s="2">
        <v>327598</v>
      </c>
      <c r="G359" s="7">
        <v>66.67</v>
      </c>
      <c r="H359" s="7">
        <v>66.67</v>
      </c>
      <c r="I359" s="30" t="s">
        <v>9</v>
      </c>
      <c r="J359" s="31">
        <v>1</v>
      </c>
      <c r="K359" s="2"/>
      <c r="L359" s="1"/>
      <c r="M359" s="1"/>
      <c r="N359" s="2"/>
      <c r="P359" s="4"/>
      <c r="Q359" s="3"/>
      <c r="R359" s="2"/>
      <c r="S359" s="2"/>
    </row>
    <row r="360" spans="1:19" x14ac:dyDescent="0.25">
      <c r="A360" s="8">
        <v>45159</v>
      </c>
      <c r="B360" s="31" t="s">
        <v>11</v>
      </c>
      <c r="C360" s="33" t="s">
        <v>55</v>
      </c>
      <c r="D360" s="31">
        <v>30</v>
      </c>
      <c r="E360" s="3" t="str">
        <f t="shared" si="1"/>
        <v>TELEFONICA- JULIO FIJO</v>
      </c>
      <c r="F360" s="2">
        <v>327595</v>
      </c>
      <c r="G360" s="7">
        <v>66.67</v>
      </c>
      <c r="H360" s="7">
        <v>66.67</v>
      </c>
      <c r="I360" s="30" t="s">
        <v>9</v>
      </c>
      <c r="J360" s="31">
        <v>1</v>
      </c>
      <c r="K360" s="2"/>
      <c r="L360" s="1"/>
      <c r="M360" s="1"/>
      <c r="N360" s="2"/>
      <c r="P360" s="4"/>
      <c r="Q360" s="3"/>
      <c r="R360" s="2"/>
      <c r="S360" s="2"/>
    </row>
    <row r="361" spans="1:19" x14ac:dyDescent="0.25">
      <c r="A361" s="8">
        <v>45159</v>
      </c>
      <c r="B361" s="31" t="s">
        <v>11</v>
      </c>
      <c r="C361" s="33" t="s">
        <v>55</v>
      </c>
      <c r="D361" s="31">
        <v>30</v>
      </c>
      <c r="E361" s="3" t="str">
        <f t="shared" si="1"/>
        <v>TELEFONICA- JULIO FIJO</v>
      </c>
      <c r="F361" s="2">
        <v>327641</v>
      </c>
      <c r="G361" s="7">
        <v>67.47</v>
      </c>
      <c r="H361" s="7">
        <v>67.47</v>
      </c>
      <c r="I361" s="30" t="s">
        <v>9</v>
      </c>
      <c r="J361" s="31">
        <v>1</v>
      </c>
      <c r="K361" s="2"/>
      <c r="L361" s="1"/>
      <c r="M361" s="1"/>
      <c r="N361" s="2"/>
      <c r="P361" s="4"/>
      <c r="Q361" s="3"/>
      <c r="R361" s="2"/>
      <c r="S361" s="2"/>
    </row>
    <row r="362" spans="1:19" x14ac:dyDescent="0.25">
      <c r="A362" s="8">
        <v>45159</v>
      </c>
      <c r="B362" s="31" t="s">
        <v>11</v>
      </c>
      <c r="C362" s="33" t="s">
        <v>55</v>
      </c>
      <c r="D362" s="31">
        <v>30</v>
      </c>
      <c r="E362" s="3" t="str">
        <f t="shared" si="1"/>
        <v>TELEFONICA- JULIO FIJO</v>
      </c>
      <c r="F362" s="2">
        <v>327593</v>
      </c>
      <c r="G362" s="7">
        <v>67.739999999999995</v>
      </c>
      <c r="H362" s="7">
        <v>67.739999999999995</v>
      </c>
      <c r="I362" s="30" t="s">
        <v>9</v>
      </c>
      <c r="J362" s="31">
        <v>1</v>
      </c>
      <c r="K362" s="2"/>
      <c r="L362" s="1"/>
      <c r="M362" s="1"/>
      <c r="N362" s="2"/>
      <c r="P362" s="4"/>
      <c r="Q362" s="3"/>
      <c r="R362" s="2"/>
      <c r="S362" s="2"/>
    </row>
    <row r="363" spans="1:19" x14ac:dyDescent="0.25">
      <c r="A363" s="8">
        <v>45159</v>
      </c>
      <c r="B363" s="31" t="s">
        <v>11</v>
      </c>
      <c r="C363" s="33" t="s">
        <v>55</v>
      </c>
      <c r="D363" s="31">
        <v>30</v>
      </c>
      <c r="E363" s="3" t="str">
        <f t="shared" si="1"/>
        <v>TELEFONICA- JULIO FIJO</v>
      </c>
      <c r="F363" s="2">
        <v>327587</v>
      </c>
      <c r="G363" s="7">
        <v>70.099999999999994</v>
      </c>
      <c r="H363" s="7">
        <v>70.099999999999994</v>
      </c>
      <c r="I363" s="30" t="s">
        <v>9</v>
      </c>
      <c r="J363" s="31">
        <v>1</v>
      </c>
      <c r="K363" s="2"/>
      <c r="L363" s="1"/>
      <c r="M363" s="1"/>
      <c r="N363" s="2"/>
      <c r="P363" s="4"/>
      <c r="Q363" s="3"/>
      <c r="R363" s="2"/>
      <c r="S363" s="2"/>
    </row>
    <row r="364" spans="1:19" x14ac:dyDescent="0.25">
      <c r="A364" s="8">
        <v>45159</v>
      </c>
      <c r="B364" s="31" t="s">
        <v>11</v>
      </c>
      <c r="C364" s="33" t="s">
        <v>55</v>
      </c>
      <c r="D364" s="31">
        <v>30</v>
      </c>
      <c r="E364" s="3" t="str">
        <f t="shared" si="1"/>
        <v>TELEFONICA- JULIO FIJO</v>
      </c>
      <c r="F364" s="2">
        <v>327596</v>
      </c>
      <c r="G364" s="7">
        <v>70.209999999999994</v>
      </c>
      <c r="H364" s="7">
        <v>70.209999999999994</v>
      </c>
      <c r="I364" s="30" t="s">
        <v>9</v>
      </c>
      <c r="J364" s="31">
        <v>1</v>
      </c>
      <c r="K364" s="2"/>
      <c r="L364" s="1"/>
      <c r="M364" s="1"/>
      <c r="N364" s="2"/>
      <c r="P364" s="4"/>
      <c r="Q364" s="3"/>
      <c r="R364" s="2"/>
      <c r="S364" s="2"/>
    </row>
    <row r="365" spans="1:19" x14ac:dyDescent="0.25">
      <c r="A365" s="8">
        <v>45159</v>
      </c>
      <c r="B365" s="31" t="s">
        <v>11</v>
      </c>
      <c r="C365" s="33" t="s">
        <v>55</v>
      </c>
      <c r="D365" s="31">
        <v>30</v>
      </c>
      <c r="E365" s="3" t="str">
        <f t="shared" si="1"/>
        <v>TELEFONICA- JULIO FIJO</v>
      </c>
      <c r="F365" s="2">
        <v>327582</v>
      </c>
      <c r="G365" s="7">
        <v>71.099999999999994</v>
      </c>
      <c r="H365" s="7">
        <v>71.099999999999994</v>
      </c>
      <c r="I365" s="30" t="s">
        <v>9</v>
      </c>
      <c r="J365" s="31">
        <v>1</v>
      </c>
      <c r="K365" s="2"/>
      <c r="L365" s="1"/>
      <c r="M365" s="1"/>
      <c r="N365" s="2"/>
      <c r="P365" s="4"/>
      <c r="Q365" s="3"/>
      <c r="R365" s="2"/>
      <c r="S365" s="2"/>
    </row>
    <row r="366" spans="1:19" x14ac:dyDescent="0.25">
      <c r="A366" s="8">
        <v>45159</v>
      </c>
      <c r="B366" s="31" t="s">
        <v>11</v>
      </c>
      <c r="C366" s="33" t="s">
        <v>55</v>
      </c>
      <c r="D366" s="31">
        <v>30</v>
      </c>
      <c r="E366" s="3" t="str">
        <f t="shared" si="1"/>
        <v>TELEFONICA- JULIO FIJO</v>
      </c>
      <c r="F366" s="2">
        <v>327581</v>
      </c>
      <c r="G366" s="7">
        <v>71.239999999999995</v>
      </c>
      <c r="H366" s="7">
        <v>71.239999999999995</v>
      </c>
      <c r="I366" s="30" t="s">
        <v>9</v>
      </c>
      <c r="J366" s="31">
        <v>1</v>
      </c>
      <c r="K366" s="2"/>
      <c r="L366" s="1"/>
      <c r="M366" s="1"/>
      <c r="N366" s="2"/>
      <c r="P366" s="4"/>
      <c r="Q366" s="3"/>
      <c r="R366" s="2"/>
      <c r="S366" s="2"/>
    </row>
    <row r="367" spans="1:19" x14ac:dyDescent="0.25">
      <c r="A367" s="8">
        <v>45159</v>
      </c>
      <c r="B367" s="31" t="s">
        <v>11</v>
      </c>
      <c r="C367" s="33" t="s">
        <v>55</v>
      </c>
      <c r="D367" s="31">
        <v>30</v>
      </c>
      <c r="E367" s="3" t="str">
        <f t="shared" si="1"/>
        <v>TELEFONICA- JULIO FIJO</v>
      </c>
      <c r="F367" s="2">
        <v>327640</v>
      </c>
      <c r="G367" s="7">
        <v>74.63</v>
      </c>
      <c r="H367" s="7">
        <v>74.63</v>
      </c>
      <c r="I367" s="30" t="s">
        <v>9</v>
      </c>
      <c r="J367" s="31">
        <v>1</v>
      </c>
      <c r="K367" s="2"/>
      <c r="L367" s="1"/>
      <c r="M367" s="1"/>
      <c r="N367" s="2"/>
      <c r="P367" s="4"/>
      <c r="Q367" s="3"/>
      <c r="R367" s="2"/>
      <c r="S367" s="2"/>
    </row>
    <row r="368" spans="1:19" x14ac:dyDescent="0.25">
      <c r="A368" s="8">
        <v>45159</v>
      </c>
      <c r="B368" s="31" t="s">
        <v>11</v>
      </c>
      <c r="C368" s="33" t="s">
        <v>55</v>
      </c>
      <c r="D368" s="31">
        <v>30</v>
      </c>
      <c r="E368" s="3" t="str">
        <f t="shared" si="1"/>
        <v>TELEFONICA- JULIO FIJO</v>
      </c>
      <c r="F368" s="2">
        <v>327577</v>
      </c>
      <c r="G368" s="7">
        <v>75.66</v>
      </c>
      <c r="H368" s="7">
        <v>75.66</v>
      </c>
      <c r="I368" s="30" t="s">
        <v>9</v>
      </c>
      <c r="J368" s="31">
        <v>1</v>
      </c>
      <c r="K368" s="2"/>
      <c r="L368" s="1"/>
      <c r="M368" s="1"/>
      <c r="N368" s="2"/>
      <c r="P368" s="4"/>
      <c r="Q368" s="3"/>
      <c r="R368" s="2"/>
      <c r="S368" s="2"/>
    </row>
    <row r="369" spans="1:19" x14ac:dyDescent="0.25">
      <c r="A369" s="8">
        <v>45159</v>
      </c>
      <c r="B369" s="31" t="s">
        <v>11</v>
      </c>
      <c r="C369" s="33" t="s">
        <v>55</v>
      </c>
      <c r="D369" s="31">
        <v>30</v>
      </c>
      <c r="E369" s="3" t="str">
        <f t="shared" si="1"/>
        <v>TELEFONICA- JULIO FIJO</v>
      </c>
      <c r="F369" s="2">
        <v>327575</v>
      </c>
      <c r="G369" s="7">
        <v>78.97</v>
      </c>
      <c r="H369" s="7">
        <v>78.97</v>
      </c>
      <c r="I369" s="30" t="s">
        <v>9</v>
      </c>
      <c r="J369" s="31">
        <v>1</v>
      </c>
      <c r="K369" s="2"/>
      <c r="L369" s="1"/>
      <c r="M369" s="1"/>
      <c r="N369" s="2"/>
      <c r="P369" s="4"/>
      <c r="Q369" s="3"/>
      <c r="R369" s="2"/>
      <c r="S369" s="2"/>
    </row>
    <row r="370" spans="1:19" x14ac:dyDescent="0.25">
      <c r="A370" s="8">
        <v>45159</v>
      </c>
      <c r="B370" s="31" t="s">
        <v>11</v>
      </c>
      <c r="C370" s="33" t="s">
        <v>55</v>
      </c>
      <c r="D370" s="31">
        <v>30</v>
      </c>
      <c r="E370" s="3" t="str">
        <f t="shared" si="1"/>
        <v>TELEFONICA- JULIO FIJO</v>
      </c>
      <c r="F370" s="2">
        <v>327586</v>
      </c>
      <c r="G370" s="7">
        <v>88.7</v>
      </c>
      <c r="H370" s="7">
        <v>88.7</v>
      </c>
      <c r="I370" s="30" t="s">
        <v>9</v>
      </c>
      <c r="J370" s="31">
        <v>1</v>
      </c>
      <c r="K370" s="2"/>
      <c r="L370" s="1"/>
      <c r="M370" s="1"/>
      <c r="N370" s="2"/>
      <c r="P370" s="4"/>
      <c r="Q370" s="3"/>
      <c r="R370" s="2"/>
      <c r="S370" s="2"/>
    </row>
    <row r="371" spans="1:19" x14ac:dyDescent="0.25">
      <c r="A371" s="8">
        <v>45159</v>
      </c>
      <c r="B371" s="31" t="s">
        <v>11</v>
      </c>
      <c r="C371" s="33" t="s">
        <v>55</v>
      </c>
      <c r="D371" s="31">
        <v>30</v>
      </c>
      <c r="E371" s="3" t="str">
        <f t="shared" si="1"/>
        <v>TELEFONICA- JULIO FIJO</v>
      </c>
      <c r="F371" s="2">
        <v>327656</v>
      </c>
      <c r="G371" s="7">
        <v>99.51</v>
      </c>
      <c r="H371" s="7">
        <v>99.51</v>
      </c>
      <c r="I371" s="30" t="s">
        <v>9</v>
      </c>
      <c r="J371" s="31">
        <v>1</v>
      </c>
      <c r="K371" s="2"/>
      <c r="L371" s="1"/>
      <c r="M371" s="1"/>
      <c r="N371" s="2"/>
      <c r="P371" s="4"/>
      <c r="Q371" s="3"/>
      <c r="R371" s="2"/>
      <c r="S371" s="2"/>
    </row>
    <row r="372" spans="1:19" x14ac:dyDescent="0.25">
      <c r="A372" s="8">
        <v>45159</v>
      </c>
      <c r="B372" s="31" t="s">
        <v>11</v>
      </c>
      <c r="C372" s="33" t="s">
        <v>55</v>
      </c>
      <c r="D372" s="31">
        <v>30</v>
      </c>
      <c r="E372" s="3" t="str">
        <f t="shared" si="1"/>
        <v>TELEFONICA- JULIO FIJO</v>
      </c>
      <c r="F372" s="2">
        <v>327574</v>
      </c>
      <c r="G372" s="7">
        <v>180.39</v>
      </c>
      <c r="H372" s="7">
        <v>180.39</v>
      </c>
      <c r="I372" s="30" t="s">
        <v>9</v>
      </c>
      <c r="J372" s="31">
        <v>1</v>
      </c>
      <c r="K372" s="2"/>
      <c r="L372" s="1"/>
      <c r="M372" s="1"/>
      <c r="N372" s="2"/>
      <c r="P372" s="4"/>
      <c r="Q372" s="3"/>
      <c r="R372" s="2"/>
      <c r="S372" s="2"/>
    </row>
    <row r="373" spans="1:19" x14ac:dyDescent="0.25">
      <c r="A373" s="8">
        <v>45159</v>
      </c>
      <c r="B373" s="31" t="s">
        <v>11</v>
      </c>
      <c r="C373" s="33" t="s">
        <v>55</v>
      </c>
      <c r="D373" s="31">
        <v>30</v>
      </c>
      <c r="E373" s="3" t="str">
        <f t="shared" si="1"/>
        <v>TELEFONICA- JULIO FIJO</v>
      </c>
      <c r="F373" s="2">
        <v>327655</v>
      </c>
      <c r="G373" s="7">
        <v>202.55</v>
      </c>
      <c r="H373" s="7">
        <v>202.55</v>
      </c>
      <c r="I373" s="30" t="s">
        <v>9</v>
      </c>
      <c r="J373" s="31">
        <v>1</v>
      </c>
      <c r="K373" s="2"/>
      <c r="L373" s="1"/>
      <c r="M373" s="1"/>
      <c r="N373" s="2"/>
      <c r="P373" s="4"/>
      <c r="Q373" s="3"/>
      <c r="R373" s="2"/>
      <c r="S373" s="2"/>
    </row>
    <row r="374" spans="1:19" x14ac:dyDescent="0.25">
      <c r="A374" s="8">
        <v>45159</v>
      </c>
      <c r="B374" s="31" t="s">
        <v>11</v>
      </c>
      <c r="C374" s="33" t="s">
        <v>55</v>
      </c>
      <c r="D374" s="31">
        <v>30</v>
      </c>
      <c r="E374" s="3" t="str">
        <f t="shared" si="1"/>
        <v>TELEFONICA- JULIO FIJO</v>
      </c>
      <c r="F374" s="2">
        <v>327580</v>
      </c>
      <c r="G374" s="7">
        <v>218.64</v>
      </c>
      <c r="H374" s="7">
        <v>218.64</v>
      </c>
      <c r="I374" s="30" t="s">
        <v>9</v>
      </c>
      <c r="J374" s="31">
        <v>1</v>
      </c>
      <c r="K374" s="2"/>
      <c r="L374" s="1"/>
      <c r="M374" s="1"/>
      <c r="N374" s="2"/>
      <c r="P374" s="4"/>
      <c r="Q374" s="3"/>
      <c r="R374" s="2"/>
      <c r="S374" s="2"/>
    </row>
    <row r="375" spans="1:19" x14ac:dyDescent="0.25">
      <c r="A375" s="8">
        <v>45159</v>
      </c>
      <c r="B375" s="31" t="s">
        <v>11</v>
      </c>
      <c r="C375" s="33" t="s">
        <v>55</v>
      </c>
      <c r="D375" s="31">
        <v>30</v>
      </c>
      <c r="E375" s="3" t="str">
        <f t="shared" si="1"/>
        <v>TELEFONICA- JULIO FIJO</v>
      </c>
      <c r="F375" s="2">
        <v>327660</v>
      </c>
      <c r="G375" s="7">
        <v>429.57</v>
      </c>
      <c r="H375" s="7">
        <v>429.57</v>
      </c>
      <c r="I375" s="30" t="s">
        <v>9</v>
      </c>
      <c r="J375" s="31">
        <v>1</v>
      </c>
      <c r="K375" s="2"/>
      <c r="L375" s="1"/>
      <c r="M375" s="1"/>
      <c r="N375" s="2"/>
      <c r="P375" s="4"/>
      <c r="Q375" s="3"/>
      <c r="R375" s="2"/>
      <c r="S375" s="2"/>
    </row>
    <row r="376" spans="1:19" x14ac:dyDescent="0.25">
      <c r="A376" s="8">
        <v>45159</v>
      </c>
      <c r="B376" s="31" t="s">
        <v>12</v>
      </c>
      <c r="C376" s="33" t="s">
        <v>22</v>
      </c>
      <c r="D376" s="31">
        <v>30</v>
      </c>
      <c r="E376" s="3" t="str">
        <f>"ENDESA XXI-JUNIO C. MATA"</f>
        <v>ENDESA XXI-JUNIO C. MATA</v>
      </c>
      <c r="F376" s="2">
        <v>14277</v>
      </c>
      <c r="G376" s="7">
        <v>1118.46</v>
      </c>
      <c r="H376" s="7">
        <v>1118.46</v>
      </c>
      <c r="I376" s="30" t="s">
        <v>9</v>
      </c>
      <c r="J376" s="31">
        <v>1</v>
      </c>
      <c r="K376" s="2"/>
      <c r="L376" s="1"/>
      <c r="M376" s="1"/>
      <c r="N376" s="2"/>
      <c r="P376" s="4"/>
      <c r="Q376" s="3"/>
      <c r="R376" s="2"/>
      <c r="S376" s="2"/>
    </row>
    <row r="377" spans="1:19" x14ac:dyDescent="0.25">
      <c r="A377" s="8">
        <v>45159</v>
      </c>
      <c r="B377" s="31" t="s">
        <v>15</v>
      </c>
      <c r="C377" s="33" t="s">
        <v>22</v>
      </c>
      <c r="D377" s="31">
        <v>30</v>
      </c>
      <c r="E377" s="3" t="str">
        <f>"ENDESA XXI-JUNIO M. LOIS"</f>
        <v>ENDESA XXI-JUNIO M. LOIS</v>
      </c>
      <c r="F377" s="2">
        <v>14276</v>
      </c>
      <c r="G377" s="7">
        <v>3478.29</v>
      </c>
      <c r="H377" s="7">
        <v>3478.29</v>
      </c>
      <c r="I377" s="30" t="s">
        <v>9</v>
      </c>
      <c r="J377" s="31">
        <v>1</v>
      </c>
      <c r="K377" s="2"/>
      <c r="L377" s="1"/>
      <c r="M377" s="1"/>
      <c r="N377" s="2"/>
      <c r="P377" s="4"/>
      <c r="Q377" s="3"/>
      <c r="R377" s="2"/>
      <c r="S377" s="2"/>
    </row>
    <row r="378" spans="1:19" x14ac:dyDescent="0.25">
      <c r="A378" s="8">
        <v>45160</v>
      </c>
      <c r="B378" s="31" t="s">
        <v>16</v>
      </c>
      <c r="C378" s="33" t="s">
        <v>22</v>
      </c>
      <c r="D378" s="31">
        <v>30</v>
      </c>
      <c r="E378" s="3" t="str">
        <f>"ENDESA XXI-JUNIO BOMBA MILLER"</f>
        <v>ENDESA XXI-JUNIO BOMBA MILLER</v>
      </c>
      <c r="F378" s="2">
        <v>552</v>
      </c>
      <c r="G378" s="7">
        <v>52.04</v>
      </c>
      <c r="H378" s="7">
        <v>52.04</v>
      </c>
      <c r="I378" s="30" t="s">
        <v>9</v>
      </c>
      <c r="J378" s="31">
        <v>1</v>
      </c>
      <c r="K378" s="2"/>
      <c r="L378" s="1"/>
      <c r="M378" s="1"/>
      <c r="N378" s="2"/>
      <c r="P378" s="4"/>
      <c r="Q378" s="3"/>
      <c r="R378" s="2"/>
      <c r="S378" s="2"/>
    </row>
    <row r="379" spans="1:19" x14ac:dyDescent="0.25">
      <c r="A379" s="8">
        <v>45160</v>
      </c>
      <c r="B379" s="31" t="s">
        <v>16</v>
      </c>
      <c r="C379" s="33" t="s">
        <v>22</v>
      </c>
      <c r="D379" s="31">
        <v>30</v>
      </c>
      <c r="E379" s="3" t="str">
        <f>"ENDESA XXI-JULIO BOMBA MILLER"</f>
        <v>ENDESA XXI-JULIO BOMBA MILLER</v>
      </c>
      <c r="F379" s="2">
        <v>15042</v>
      </c>
      <c r="G379" s="7">
        <v>52.27</v>
      </c>
      <c r="H379" s="7">
        <v>52.27</v>
      </c>
      <c r="I379" s="30" t="s">
        <v>9</v>
      </c>
      <c r="J379" s="31">
        <v>1</v>
      </c>
      <c r="K379" s="2"/>
      <c r="L379" s="1"/>
      <c r="M379" s="1"/>
      <c r="N379" s="2"/>
      <c r="P379" s="4"/>
      <c r="Q379" s="3"/>
      <c r="R379" s="2"/>
      <c r="S379" s="2"/>
    </row>
    <row r="380" spans="1:19" x14ac:dyDescent="0.25">
      <c r="A380" s="8">
        <v>45160</v>
      </c>
      <c r="B380" s="31" t="s">
        <v>13</v>
      </c>
      <c r="C380" s="33" t="s">
        <v>24</v>
      </c>
      <c r="D380" s="31">
        <v>30</v>
      </c>
      <c r="E380" s="3" t="str">
        <f>"TRANSALINETAS LOG-JULIO"</f>
        <v>TRANSALINETAS LOG-JULIO</v>
      </c>
      <c r="F380" s="2">
        <v>3292</v>
      </c>
      <c r="G380" s="7">
        <v>168.93</v>
      </c>
      <c r="H380" s="7">
        <v>168.93</v>
      </c>
      <c r="I380" s="30" t="s">
        <v>9</v>
      </c>
      <c r="J380" s="31">
        <v>1</v>
      </c>
      <c r="K380" s="2"/>
      <c r="L380" s="1"/>
      <c r="M380" s="1"/>
      <c r="N380" s="2"/>
      <c r="P380" s="4"/>
      <c r="Q380" s="3"/>
      <c r="R380" s="2"/>
      <c r="S380" s="2"/>
    </row>
    <row r="381" spans="1:19" x14ac:dyDescent="0.25">
      <c r="A381" s="8">
        <v>45160</v>
      </c>
      <c r="B381" s="31" t="s">
        <v>12</v>
      </c>
      <c r="C381" s="33" t="s">
        <v>42</v>
      </c>
      <c r="D381" s="31">
        <v>1</v>
      </c>
      <c r="E381" s="3" t="str">
        <f>"CRISTIAN VELASCO-TRANSP.OBRAS"</f>
        <v>CRISTIAN VELASCO-TRANSP.OBRAS</v>
      </c>
      <c r="F381" s="2">
        <v>2</v>
      </c>
      <c r="G381" s="7">
        <v>4815</v>
      </c>
      <c r="H381" s="7">
        <v>4815</v>
      </c>
      <c r="I381" s="30" t="s">
        <v>9</v>
      </c>
      <c r="J381" s="31">
        <v>1</v>
      </c>
      <c r="K381" s="2"/>
      <c r="L381" s="1"/>
      <c r="M381" s="1"/>
      <c r="N381" s="2"/>
      <c r="P381" s="4"/>
      <c r="Q381" s="3"/>
      <c r="R381" s="2"/>
      <c r="S381" s="2"/>
    </row>
    <row r="382" spans="1:19" x14ac:dyDescent="0.25">
      <c r="A382" s="8">
        <v>45162</v>
      </c>
      <c r="B382" s="31" t="s">
        <v>12</v>
      </c>
      <c r="C382" s="33" t="s">
        <v>20</v>
      </c>
      <c r="D382" s="31">
        <v>60</v>
      </c>
      <c r="E382" s="3" t="str">
        <f>"COSME ORTIZ-ENDESA JUL/AG.ASCE"</f>
        <v>COSME ORTIZ-ENDESA JUL/AG.ASCE</v>
      </c>
      <c r="F382" s="2">
        <v>55467</v>
      </c>
      <c r="G382" s="7">
        <v>13.99</v>
      </c>
      <c r="H382" s="7">
        <v>13.99</v>
      </c>
      <c r="I382" s="30" t="s">
        <v>9</v>
      </c>
      <c r="J382" s="31">
        <v>1</v>
      </c>
      <c r="K382" s="2"/>
      <c r="L382" s="1"/>
      <c r="M382" s="1"/>
      <c r="N382" s="2"/>
      <c r="P382" s="4"/>
      <c r="Q382" s="3"/>
      <c r="R382" s="2"/>
      <c r="S382" s="2"/>
    </row>
    <row r="383" spans="1:19" x14ac:dyDescent="0.25">
      <c r="A383" s="8">
        <v>45162</v>
      </c>
      <c r="B383" s="31" t="s">
        <v>12</v>
      </c>
      <c r="C383" s="33" t="s">
        <v>20</v>
      </c>
      <c r="D383" s="31">
        <v>60</v>
      </c>
      <c r="E383" s="3" t="str">
        <f>"COSME ORTIZ-ENDESA JUL/AG. LOC"</f>
        <v>COSME ORTIZ-ENDESA JUL/AG. LOC</v>
      </c>
      <c r="F383" s="2">
        <v>59987</v>
      </c>
      <c r="G383" s="7">
        <v>41.82</v>
      </c>
      <c r="H383" s="7">
        <v>41.82</v>
      </c>
      <c r="I383" s="30" t="s">
        <v>9</v>
      </c>
      <c r="J383" s="31">
        <v>1</v>
      </c>
      <c r="K383" s="2"/>
      <c r="L383" s="1"/>
      <c r="M383" s="1"/>
      <c r="N383" s="2"/>
      <c r="P383" s="4"/>
      <c r="Q383" s="3"/>
      <c r="R383" s="2"/>
      <c r="S383" s="2"/>
    </row>
    <row r="384" spans="1:19" x14ac:dyDescent="0.25">
      <c r="A384" s="8">
        <v>45162</v>
      </c>
      <c r="B384" s="31" t="s">
        <v>13</v>
      </c>
      <c r="C384" s="33" t="s">
        <v>27</v>
      </c>
      <c r="D384" s="31">
        <v>1</v>
      </c>
      <c r="E384" s="3" t="str">
        <f>"RICA SANDRA CHIRIQUI-OLA LETRA"</f>
        <v>RICA SANDRA CHIRIQUI-OLA LETRA</v>
      </c>
      <c r="F384" s="2">
        <v>73</v>
      </c>
      <c r="G384" s="7">
        <v>202.4</v>
      </c>
      <c r="H384" s="7">
        <v>202.4</v>
      </c>
      <c r="I384" s="30" t="s">
        <v>9</v>
      </c>
      <c r="J384" s="31">
        <v>1</v>
      </c>
      <c r="K384" s="2"/>
      <c r="L384" s="1"/>
      <c r="M384" s="1"/>
      <c r="N384" s="2"/>
      <c r="P384" s="4"/>
      <c r="Q384" s="3"/>
      <c r="R384" s="2"/>
      <c r="S384" s="2"/>
    </row>
    <row r="385" spans="1:19" x14ac:dyDescent="0.25">
      <c r="A385" s="8">
        <v>45163</v>
      </c>
      <c r="B385" s="31" t="s">
        <v>11</v>
      </c>
      <c r="C385" s="33" t="s">
        <v>55</v>
      </c>
      <c r="D385" s="31">
        <v>30</v>
      </c>
      <c r="E385" s="3" t="str">
        <f>"TELEFONICA MOVILES-JULIO"</f>
        <v>TELEFONICA MOVILES-JULIO</v>
      </c>
      <c r="F385" s="2">
        <v>306116</v>
      </c>
      <c r="G385" s="7">
        <v>380.86</v>
      </c>
      <c r="H385" s="7">
        <v>380.86</v>
      </c>
      <c r="I385" s="30" t="s">
        <v>9</v>
      </c>
      <c r="J385" s="31">
        <v>1</v>
      </c>
      <c r="K385" s="2"/>
      <c r="L385" s="1"/>
      <c r="M385" s="1"/>
      <c r="N385" s="2"/>
      <c r="P385" s="4"/>
      <c r="Q385" s="3"/>
      <c r="R385" s="2"/>
      <c r="S385" s="2"/>
    </row>
    <row r="386" spans="1:19" x14ac:dyDescent="0.25">
      <c r="A386" s="8">
        <v>45166</v>
      </c>
      <c r="B386" s="31" t="s">
        <v>18</v>
      </c>
      <c r="C386" s="33" t="s">
        <v>22</v>
      </c>
      <c r="D386" s="31">
        <v>30</v>
      </c>
      <c r="E386" s="3" t="str">
        <f>"ENDESA XXI-JULIO QUEGLES"</f>
        <v>ENDESA XXI-JULIO QUEGLES</v>
      </c>
      <c r="F386" s="2">
        <v>15396</v>
      </c>
      <c r="G386" s="7">
        <v>306.23</v>
      </c>
      <c r="H386" s="7">
        <v>306.23</v>
      </c>
      <c r="I386" s="30" t="s">
        <v>9</v>
      </c>
      <c r="J386" s="31">
        <v>1</v>
      </c>
      <c r="K386" s="2"/>
      <c r="L386" s="1"/>
      <c r="M386" s="1"/>
      <c r="N386" s="2"/>
      <c r="P386" s="4"/>
      <c r="Q386" s="3"/>
      <c r="R386" s="2"/>
      <c r="S386" s="2"/>
    </row>
    <row r="387" spans="1:19" x14ac:dyDescent="0.25">
      <c r="A387" s="8">
        <v>45167</v>
      </c>
      <c r="B387" s="31" t="s">
        <v>13</v>
      </c>
      <c r="C387" s="33" t="s">
        <v>27</v>
      </c>
      <c r="D387" s="31">
        <v>1</v>
      </c>
      <c r="E387" s="3" t="str">
        <f>"DANIEL TORRES-OLA LETRAS/ROBOT"</f>
        <v>DANIEL TORRES-OLA LETRAS/ROBOT</v>
      </c>
      <c r="F387" s="2">
        <v>2023014</v>
      </c>
      <c r="G387" s="7">
        <v>170</v>
      </c>
      <c r="H387" s="7">
        <v>170</v>
      </c>
      <c r="I387" s="30" t="s">
        <v>9</v>
      </c>
      <c r="J387" s="31">
        <v>1</v>
      </c>
      <c r="K387" s="2"/>
      <c r="L387" s="1"/>
      <c r="M387" s="1"/>
      <c r="N387" s="2"/>
      <c r="P387" s="4"/>
      <c r="Q387" s="3"/>
      <c r="R387" s="2"/>
      <c r="S387" s="2"/>
    </row>
    <row r="388" spans="1:19" x14ac:dyDescent="0.25">
      <c r="A388" s="8">
        <v>45167</v>
      </c>
      <c r="B388" s="31" t="s">
        <v>13</v>
      </c>
      <c r="C388" s="33" t="s">
        <v>27</v>
      </c>
      <c r="D388" s="31">
        <v>1</v>
      </c>
      <c r="E388" s="3" t="str">
        <f>"DANIEL TORRES-OLA LETRAS/SCRAC"</f>
        <v>DANIEL TORRES-OLA LETRAS/SCRAC</v>
      </c>
      <c r="F388" s="2">
        <v>2023015</v>
      </c>
      <c r="G388" s="7">
        <v>170</v>
      </c>
      <c r="H388" s="7">
        <v>170</v>
      </c>
      <c r="I388" s="30" t="s">
        <v>9</v>
      </c>
      <c r="J388" s="31">
        <v>1</v>
      </c>
      <c r="K388" s="2"/>
      <c r="L388" s="1"/>
      <c r="M388" s="1"/>
      <c r="N388" s="2"/>
      <c r="P388" s="4"/>
      <c r="Q388" s="3"/>
      <c r="R388" s="2"/>
      <c r="S388" s="2"/>
    </row>
    <row r="389" spans="1:19" x14ac:dyDescent="0.25">
      <c r="A389" s="8">
        <v>45167</v>
      </c>
      <c r="B389" s="31" t="s">
        <v>52</v>
      </c>
      <c r="C389" s="33" t="s">
        <v>28</v>
      </c>
      <c r="D389" s="31">
        <v>20</v>
      </c>
      <c r="E389" s="3" t="str">
        <f>"ENRIQUE CURBELO-FOTOG.TEMUDAS"</f>
        <v>ENRIQUE CURBELO-FOTOG.TEMUDAS</v>
      </c>
      <c r="F389" s="2">
        <v>43</v>
      </c>
      <c r="G389" s="7">
        <v>1683.6</v>
      </c>
      <c r="H389" s="7">
        <v>1683.6</v>
      </c>
      <c r="I389" s="30" t="s">
        <v>9</v>
      </c>
      <c r="J389" s="31">
        <v>1</v>
      </c>
      <c r="K389" s="2"/>
      <c r="L389" s="1"/>
      <c r="M389" s="1"/>
      <c r="N389" s="2"/>
      <c r="P389" s="4"/>
      <c r="Q389" s="3"/>
      <c r="R389" s="2"/>
      <c r="S389" s="2"/>
    </row>
    <row r="390" spans="1:19" x14ac:dyDescent="0.25">
      <c r="A390" s="8">
        <v>45168</v>
      </c>
      <c r="B390" s="31" t="s">
        <v>52</v>
      </c>
      <c r="C390" s="33" t="s">
        <v>29</v>
      </c>
      <c r="D390" s="31">
        <v>1</v>
      </c>
      <c r="E390" s="3" t="str">
        <f>"MACARONESIA FORW-TRANSP/IGIC"</f>
        <v>MACARONESIA FORW-TRANSP/IGIC</v>
      </c>
      <c r="F390" s="2">
        <v>4358</v>
      </c>
      <c r="G390" s="7">
        <v>35</v>
      </c>
      <c r="H390" s="7">
        <v>35</v>
      </c>
      <c r="I390" s="30" t="s">
        <v>9</v>
      </c>
      <c r="J390" s="31">
        <v>1</v>
      </c>
      <c r="K390" s="2"/>
      <c r="L390" s="1"/>
      <c r="M390" s="1"/>
      <c r="N390" s="2"/>
      <c r="P390" s="4"/>
      <c r="Q390" s="3"/>
      <c r="R390" s="2"/>
      <c r="S390" s="2"/>
    </row>
    <row r="391" spans="1:19" x14ac:dyDescent="0.25">
      <c r="A391" s="8">
        <v>45168</v>
      </c>
      <c r="B391" s="31" t="s">
        <v>39</v>
      </c>
      <c r="C391" s="33" t="s">
        <v>29</v>
      </c>
      <c r="D391" s="31">
        <v>1</v>
      </c>
      <c r="E391" s="3" t="str">
        <f>"ASOC.PERSONAS SORDAS-PREGON"</f>
        <v>ASOC.PERSONAS SORDAS-PREGON</v>
      </c>
      <c r="F391" s="2">
        <v>47</v>
      </c>
      <c r="G391" s="7">
        <v>43.78</v>
      </c>
      <c r="H391" s="7">
        <v>43.78</v>
      </c>
      <c r="I391" s="30" t="s">
        <v>9</v>
      </c>
      <c r="J391" s="31">
        <v>1</v>
      </c>
      <c r="K391" s="2"/>
      <c r="L391" s="1"/>
      <c r="M391" s="1"/>
      <c r="N391" s="2"/>
      <c r="P391" s="4"/>
      <c r="Q391" s="3"/>
      <c r="R391" s="2"/>
      <c r="S391" s="2"/>
    </row>
    <row r="392" spans="1:19" x14ac:dyDescent="0.25">
      <c r="A392" s="8">
        <v>45168</v>
      </c>
      <c r="B392" s="31" t="s">
        <v>13</v>
      </c>
      <c r="C392" s="33" t="s">
        <v>21</v>
      </c>
      <c r="D392" s="31">
        <v>1</v>
      </c>
      <c r="E392" s="3" t="str">
        <f>"ORION CONSULTORIA-CURSOS"</f>
        <v>ORION CONSULTORIA-CURSOS</v>
      </c>
      <c r="F392" s="2">
        <v>373</v>
      </c>
      <c r="G392" s="7">
        <v>48.15</v>
      </c>
      <c r="H392" s="7">
        <v>48.15</v>
      </c>
      <c r="I392" s="30" t="s">
        <v>9</v>
      </c>
      <c r="J392" s="31">
        <v>1</v>
      </c>
      <c r="K392" s="2"/>
      <c r="L392" s="1"/>
      <c r="M392" s="1"/>
      <c r="N392" s="2"/>
      <c r="P392" s="4"/>
      <c r="Q392" s="3"/>
      <c r="R392" s="2"/>
      <c r="S392" s="2"/>
    </row>
    <row r="393" spans="1:19" x14ac:dyDescent="0.25">
      <c r="A393" s="8">
        <v>45168</v>
      </c>
      <c r="B393" s="31" t="s">
        <v>52</v>
      </c>
      <c r="C393" s="33" t="s">
        <v>29</v>
      </c>
      <c r="D393" s="31">
        <v>1</v>
      </c>
      <c r="E393" s="3" t="str">
        <f>"MACARONESIA FORW-ALMACENAJE"</f>
        <v>MACARONESIA FORW-ALMACENAJE</v>
      </c>
      <c r="F393" s="2">
        <v>5563</v>
      </c>
      <c r="G393" s="7">
        <v>60</v>
      </c>
      <c r="H393" s="7">
        <v>60</v>
      </c>
      <c r="I393" s="30" t="s">
        <v>9</v>
      </c>
      <c r="J393" s="31">
        <v>1</v>
      </c>
      <c r="K393" s="2"/>
      <c r="L393" s="1"/>
      <c r="M393" s="1"/>
      <c r="N393" s="2"/>
      <c r="P393" s="4"/>
      <c r="Q393" s="3"/>
      <c r="R393" s="2"/>
      <c r="S393" s="2"/>
    </row>
    <row r="394" spans="1:19" x14ac:dyDescent="0.25">
      <c r="A394" s="8">
        <v>45168</v>
      </c>
      <c r="B394" s="31" t="s">
        <v>52</v>
      </c>
      <c r="C394" s="33" t="s">
        <v>29</v>
      </c>
      <c r="D394" s="31">
        <v>1</v>
      </c>
      <c r="E394" s="3" t="str">
        <f>"MACARONESIA FORW-TRANSP/IVA"</f>
        <v>MACARONESIA FORW-TRANSP/IVA</v>
      </c>
      <c r="F394" s="2">
        <v>5265</v>
      </c>
      <c r="G394" s="7">
        <v>105</v>
      </c>
      <c r="H394" s="7">
        <v>105</v>
      </c>
      <c r="I394" s="30" t="s">
        <v>9</v>
      </c>
      <c r="J394" s="31">
        <v>1</v>
      </c>
      <c r="K394" s="2"/>
      <c r="L394" s="1"/>
      <c r="M394" s="1"/>
      <c r="N394" s="2"/>
      <c r="P394" s="4"/>
      <c r="Q394" s="3"/>
      <c r="R394" s="2"/>
      <c r="S394" s="2"/>
    </row>
    <row r="395" spans="1:19" x14ac:dyDescent="0.25">
      <c r="A395" s="8">
        <v>45168</v>
      </c>
      <c r="B395" s="31" t="s">
        <v>13</v>
      </c>
      <c r="C395" s="33" t="s">
        <v>27</v>
      </c>
      <c r="D395" s="31">
        <v>1</v>
      </c>
      <c r="E395" s="3" t="str">
        <f>"LAURA REINA-TALLER DARTH VADER"</f>
        <v>LAURA REINA-TALLER DARTH VADER</v>
      </c>
      <c r="F395" s="2">
        <v>1623</v>
      </c>
      <c r="G395" s="7">
        <v>150.88</v>
      </c>
      <c r="H395" s="7">
        <v>150.88</v>
      </c>
      <c r="I395" s="30" t="s">
        <v>9</v>
      </c>
      <c r="J395" s="31">
        <v>1</v>
      </c>
      <c r="K395" s="2"/>
      <c r="L395" s="1"/>
      <c r="M395" s="1"/>
      <c r="N395" s="2"/>
      <c r="P395" s="4"/>
      <c r="Q395" s="3"/>
      <c r="R395" s="2"/>
      <c r="S395" s="2"/>
    </row>
    <row r="396" spans="1:19" x14ac:dyDescent="0.25">
      <c r="A396" s="8">
        <v>45168</v>
      </c>
      <c r="B396" s="31" t="s">
        <v>52</v>
      </c>
      <c r="C396" s="33" t="s">
        <v>29</v>
      </c>
      <c r="D396" s="31">
        <v>1</v>
      </c>
      <c r="E396" s="3" t="str">
        <f>"MACARONESIA FORW-TRANSP/FLETES"</f>
        <v>MACARONESIA FORW-TRANSP/FLETES</v>
      </c>
      <c r="F396" s="2">
        <v>4357</v>
      </c>
      <c r="G396" s="7">
        <v>531</v>
      </c>
      <c r="H396" s="7">
        <v>531</v>
      </c>
      <c r="I396" s="30" t="s">
        <v>9</v>
      </c>
      <c r="J396" s="31">
        <v>1</v>
      </c>
      <c r="K396" s="2"/>
      <c r="L396" s="1"/>
      <c r="M396" s="1"/>
      <c r="N396" s="2"/>
      <c r="P396" s="4"/>
      <c r="Q396" s="3"/>
      <c r="R396" s="2"/>
      <c r="S396" s="2"/>
    </row>
    <row r="397" spans="1:19" x14ac:dyDescent="0.25">
      <c r="A397" s="22"/>
      <c r="B397" s="28"/>
      <c r="C397" s="29"/>
      <c r="D397" s="28"/>
      <c r="E397" s="24"/>
      <c r="F397" s="25"/>
      <c r="G397" s="26"/>
      <c r="H397" s="26"/>
      <c r="I397" s="27"/>
      <c r="J397" s="28"/>
      <c r="K397" s="2"/>
      <c r="L397" s="1"/>
      <c r="M397" s="1"/>
      <c r="N397" s="2"/>
      <c r="P397" s="4"/>
      <c r="Q397" s="3"/>
      <c r="R397" s="2"/>
      <c r="S397" s="2"/>
    </row>
    <row r="398" spans="1:19" x14ac:dyDescent="0.25">
      <c r="A398" s="1"/>
      <c r="B398" s="21"/>
      <c r="C398" s="1"/>
      <c r="D398" s="21"/>
      <c r="E398" s="1"/>
      <c r="F398" s="1"/>
      <c r="G398" s="21"/>
      <c r="H398" s="21"/>
      <c r="L398" s="1"/>
      <c r="M398" s="1"/>
      <c r="N398" s="2"/>
      <c r="P398" s="4"/>
      <c r="Q398" s="3"/>
      <c r="R398" s="2"/>
      <c r="S398" s="2"/>
    </row>
    <row r="399" spans="1:19" ht="15.5" x14ac:dyDescent="0.25">
      <c r="A399" s="15" t="s">
        <v>0</v>
      </c>
      <c r="B399" s="15" t="s">
        <v>8</v>
      </c>
      <c r="C399" s="15" t="s">
        <v>7</v>
      </c>
      <c r="D399" s="16" t="s">
        <v>10</v>
      </c>
      <c r="E399" s="15" t="s">
        <v>6</v>
      </c>
      <c r="F399" s="15" t="s">
        <v>1</v>
      </c>
      <c r="G399" s="15" t="s">
        <v>2</v>
      </c>
      <c r="H399" s="15" t="s">
        <v>3</v>
      </c>
      <c r="I399" s="15" t="s">
        <v>4</v>
      </c>
      <c r="J399" s="15" t="s">
        <v>5</v>
      </c>
    </row>
    <row r="400" spans="1:19" ht="22.5" customHeight="1" x14ac:dyDescent="0.3">
      <c r="A400" s="32" t="s">
        <v>62</v>
      </c>
    </row>
    <row r="401" spans="1:19" x14ac:dyDescent="0.25">
      <c r="A401" s="1"/>
      <c r="B401" s="21"/>
      <c r="C401" s="1"/>
      <c r="D401" s="21"/>
      <c r="E401" s="1"/>
      <c r="F401" s="1"/>
      <c r="G401" s="21"/>
      <c r="H401" s="21"/>
      <c r="L401" s="1"/>
      <c r="M401" s="1"/>
      <c r="N401" s="2"/>
      <c r="P401" s="4"/>
      <c r="Q401" s="3"/>
      <c r="R401" s="2"/>
      <c r="S401" s="2"/>
    </row>
    <row r="402" spans="1:19" x14ac:dyDescent="0.25">
      <c r="A402" s="8">
        <v>45170</v>
      </c>
      <c r="B402" s="31" t="s">
        <v>18</v>
      </c>
      <c r="C402" s="35" t="s">
        <v>77</v>
      </c>
      <c r="D402" s="36">
        <v>1</v>
      </c>
      <c r="E402" s="3" t="str">
        <f>"AMPESA-PUERTAS QUEGLES"</f>
        <v>AMPESA-PUERTAS QUEGLES</v>
      </c>
      <c r="F402" s="2">
        <v>469</v>
      </c>
      <c r="G402" s="7">
        <v>2235.87</v>
      </c>
      <c r="H402" s="7">
        <v>2235.87</v>
      </c>
      <c r="I402" s="30" t="s">
        <v>9</v>
      </c>
      <c r="J402" s="31">
        <v>1</v>
      </c>
      <c r="N402" s="2"/>
      <c r="P402" s="4"/>
      <c r="Q402" s="3"/>
      <c r="R402" s="2"/>
      <c r="S402" s="2"/>
    </row>
    <row r="403" spans="1:19" x14ac:dyDescent="0.25">
      <c r="A403" s="8">
        <v>45170</v>
      </c>
      <c r="B403" s="31" t="s">
        <v>52</v>
      </c>
      <c r="C403" s="35" t="s">
        <v>76</v>
      </c>
      <c r="D403" s="36">
        <v>12</v>
      </c>
      <c r="E403" s="3" t="str">
        <f>"YSASUEL 58-COMIDAS FESTIVAL"</f>
        <v>YSASUEL 58-COMIDAS FESTIVAL</v>
      </c>
      <c r="F403" s="2">
        <v>7001</v>
      </c>
      <c r="G403" s="7">
        <v>3718.36</v>
      </c>
      <c r="H403" s="7">
        <v>3718.36</v>
      </c>
      <c r="I403" s="30" t="s">
        <v>9</v>
      </c>
      <c r="J403" s="31">
        <v>1</v>
      </c>
      <c r="M403" s="8"/>
      <c r="N403" s="8"/>
      <c r="O403" s="10"/>
      <c r="P403" s="3"/>
      <c r="Q403" s="2"/>
      <c r="R403" s="7"/>
      <c r="S403" s="4"/>
    </row>
    <row r="404" spans="1:19" x14ac:dyDescent="0.25">
      <c r="A404" s="8">
        <v>45173</v>
      </c>
      <c r="B404" s="31" t="s">
        <v>12</v>
      </c>
      <c r="C404" s="35" t="s">
        <v>20</v>
      </c>
      <c r="D404" s="36">
        <v>60</v>
      </c>
      <c r="E404" s="3" t="str">
        <f>"COSME ORTIZ-EMALSA 13/6 A 9/8"</f>
        <v>COSME ORTIZ-EMALSA 13/6 A 9/8</v>
      </c>
      <c r="F404" s="2">
        <v>2963</v>
      </c>
      <c r="G404" s="7">
        <v>14.36</v>
      </c>
      <c r="H404" s="7">
        <v>14.36</v>
      </c>
      <c r="I404" s="30" t="s">
        <v>9</v>
      </c>
      <c r="J404" s="31">
        <v>1</v>
      </c>
    </row>
    <row r="405" spans="1:19" x14ac:dyDescent="0.25">
      <c r="A405" s="8">
        <v>45173</v>
      </c>
      <c r="B405" s="31" t="s">
        <v>13</v>
      </c>
      <c r="C405" s="35" t="s">
        <v>27</v>
      </c>
      <c r="D405" s="36">
        <v>1</v>
      </c>
      <c r="E405" s="3" t="str">
        <f>"LAURA REINA-TALLERES"</f>
        <v>LAURA REINA-TALLERES</v>
      </c>
      <c r="F405" s="2">
        <v>1523</v>
      </c>
      <c r="G405" s="7">
        <v>150.88</v>
      </c>
      <c r="H405" s="7">
        <v>150.88</v>
      </c>
      <c r="I405" s="30" t="s">
        <v>9</v>
      </c>
      <c r="J405" s="31">
        <v>1</v>
      </c>
    </row>
    <row r="406" spans="1:19" x14ac:dyDescent="0.25">
      <c r="A406" s="8">
        <v>45173</v>
      </c>
      <c r="B406" s="31" t="s">
        <v>12</v>
      </c>
      <c r="C406" s="35" t="s">
        <v>31</v>
      </c>
      <c r="D406" s="36">
        <v>30</v>
      </c>
      <c r="E406" s="3" t="str">
        <f>"ENDESA XXI-JULIO C. MATA"</f>
        <v>ENDESA XXI-JULIO C. MATA</v>
      </c>
      <c r="F406" s="2">
        <v>499</v>
      </c>
      <c r="G406" s="7">
        <v>1216.77</v>
      </c>
      <c r="H406" s="7">
        <v>1216.77</v>
      </c>
      <c r="I406" s="30" t="s">
        <v>9</v>
      </c>
      <c r="J406" s="31">
        <v>1</v>
      </c>
    </row>
    <row r="407" spans="1:19" x14ac:dyDescent="0.25">
      <c r="A407" s="8">
        <v>45173</v>
      </c>
      <c r="B407" s="31" t="s">
        <v>15</v>
      </c>
      <c r="C407" s="35" t="s">
        <v>31</v>
      </c>
      <c r="D407" s="36">
        <v>30</v>
      </c>
      <c r="E407" s="3" t="str">
        <f>"ENDESA XXI-JULIO M. LOIS"</f>
        <v>ENDESA XXI-JULIO M. LOIS</v>
      </c>
      <c r="F407" s="2">
        <v>474</v>
      </c>
      <c r="G407" s="7">
        <v>3743.91</v>
      </c>
      <c r="H407" s="7">
        <v>3743.91</v>
      </c>
      <c r="I407" s="30" t="s">
        <v>9</v>
      </c>
      <c r="J407" s="31">
        <v>1</v>
      </c>
    </row>
    <row r="408" spans="1:19" x14ac:dyDescent="0.25">
      <c r="A408" s="8">
        <v>45174</v>
      </c>
      <c r="B408" s="31" t="s">
        <v>13</v>
      </c>
      <c r="C408" s="35" t="s">
        <v>27</v>
      </c>
      <c r="D408" s="36">
        <v>1</v>
      </c>
      <c r="E408" s="3" t="str">
        <f>"ACTURA-OLA LETRAS AIDA ARENCIB"</f>
        <v>ACTURA-OLA LETRAS AIDA ARENCIB</v>
      </c>
      <c r="F408" s="2">
        <v>7852</v>
      </c>
      <c r="G408" s="7">
        <v>69.55</v>
      </c>
      <c r="H408" s="7">
        <v>69.55</v>
      </c>
      <c r="I408" s="30" t="s">
        <v>9</v>
      </c>
      <c r="J408" s="31">
        <v>1</v>
      </c>
    </row>
    <row r="409" spans="1:19" x14ac:dyDescent="0.25">
      <c r="A409" s="8">
        <v>45174</v>
      </c>
      <c r="B409" s="31" t="s">
        <v>50</v>
      </c>
      <c r="C409" s="35" t="s">
        <v>33</v>
      </c>
      <c r="D409" s="36">
        <v>12</v>
      </c>
      <c r="E409" s="3" t="str">
        <f>"ALCOIMA-F.CINE EDIF.MILLER"</f>
        <v>ALCOIMA-F.CINE EDIF.MILLER</v>
      </c>
      <c r="F409" s="2">
        <v>764</v>
      </c>
      <c r="G409" s="7">
        <v>654.96</v>
      </c>
      <c r="H409" s="7">
        <v>654.96</v>
      </c>
      <c r="I409" s="30" t="s">
        <v>9</v>
      </c>
      <c r="J409" s="31">
        <v>1</v>
      </c>
    </row>
    <row r="410" spans="1:19" x14ac:dyDescent="0.25">
      <c r="A410" s="8">
        <v>45174</v>
      </c>
      <c r="B410" s="31" t="s">
        <v>16</v>
      </c>
      <c r="C410" s="35" t="s">
        <v>34</v>
      </c>
      <c r="D410" s="36">
        <v>1</v>
      </c>
      <c r="E410" s="3" t="str">
        <f>"ACTURA-A CAPELLA R.ZERPA/CARLO"</f>
        <v>ACTURA-A CAPELLA R.ZERPA/CARLO</v>
      </c>
      <c r="F410" s="2">
        <v>7970</v>
      </c>
      <c r="G410" s="7">
        <v>1070</v>
      </c>
      <c r="H410" s="7">
        <v>1070</v>
      </c>
      <c r="I410" s="30" t="s">
        <v>9</v>
      </c>
      <c r="J410" s="31">
        <v>1</v>
      </c>
    </row>
    <row r="411" spans="1:19" x14ac:dyDescent="0.25">
      <c r="A411" s="8">
        <v>45174</v>
      </c>
      <c r="B411" s="31" t="s">
        <v>11</v>
      </c>
      <c r="C411" s="35" t="s">
        <v>38</v>
      </c>
      <c r="D411" s="36">
        <v>30</v>
      </c>
      <c r="E411" s="3" t="str">
        <f>"AG CONS.Y ASESORES-AGOSTO"</f>
        <v>AG CONS.Y ASESORES-AGOSTO</v>
      </c>
      <c r="F411" s="2">
        <v>1075</v>
      </c>
      <c r="G411" s="7">
        <v>1403.35</v>
      </c>
      <c r="H411" s="7">
        <v>1403.35</v>
      </c>
      <c r="I411" s="30" t="s">
        <v>9</v>
      </c>
      <c r="J411" s="31">
        <v>1</v>
      </c>
    </row>
    <row r="412" spans="1:19" x14ac:dyDescent="0.25">
      <c r="A412" s="8">
        <v>45174</v>
      </c>
      <c r="B412" s="31" t="s">
        <v>15</v>
      </c>
      <c r="C412" s="35" t="s">
        <v>35</v>
      </c>
      <c r="D412" s="36">
        <v>1</v>
      </c>
      <c r="E412" s="3" t="str">
        <f>"RADIO POPULAR-FITUR"</f>
        <v>RADIO POPULAR-FITUR</v>
      </c>
      <c r="F412" s="2">
        <v>200853</v>
      </c>
      <c r="G412" s="7">
        <v>3353.92</v>
      </c>
      <c r="H412" s="7">
        <v>3353.92</v>
      </c>
      <c r="I412" s="30" t="s">
        <v>9</v>
      </c>
      <c r="J412" s="31">
        <v>1</v>
      </c>
    </row>
    <row r="413" spans="1:19" x14ac:dyDescent="0.25">
      <c r="A413" s="8">
        <v>45174</v>
      </c>
      <c r="B413" s="31" t="s">
        <v>15</v>
      </c>
      <c r="C413" s="35" t="s">
        <v>34</v>
      </c>
      <c r="D413" s="36">
        <v>1</v>
      </c>
      <c r="E413" s="3" t="str">
        <f>"ETIAZUL-CRISTINA RAMOS GALA RE"</f>
        <v>ETIAZUL-CRISTINA RAMOS GALA RE</v>
      </c>
      <c r="F413" s="2">
        <v>62</v>
      </c>
      <c r="G413" s="7">
        <v>4280</v>
      </c>
      <c r="H413" s="7">
        <v>4280</v>
      </c>
      <c r="I413" s="30" t="s">
        <v>9</v>
      </c>
      <c r="J413" s="31">
        <v>1</v>
      </c>
    </row>
    <row r="414" spans="1:19" x14ac:dyDescent="0.25">
      <c r="A414" s="8">
        <v>45175</v>
      </c>
      <c r="B414" s="31" t="s">
        <v>50</v>
      </c>
      <c r="C414" s="35" t="s">
        <v>53</v>
      </c>
      <c r="D414" s="36">
        <v>30</v>
      </c>
      <c r="E414" s="3" t="str">
        <f>"GOOGLE-AGOSTO LPA FILM FESTIV."</f>
        <v>GOOGLE-AGOSTO LPA FILM FESTIV.</v>
      </c>
      <c r="F414" s="2">
        <v>329684</v>
      </c>
      <c r="G414" s="7">
        <v>126.48</v>
      </c>
      <c r="H414" s="7">
        <v>126.48</v>
      </c>
      <c r="I414" s="30" t="s">
        <v>9</v>
      </c>
      <c r="J414" s="31">
        <v>1</v>
      </c>
    </row>
    <row r="415" spans="1:19" x14ac:dyDescent="0.25">
      <c r="A415" s="8">
        <v>45175</v>
      </c>
      <c r="B415" s="31" t="s">
        <v>13</v>
      </c>
      <c r="C415" s="35" t="s">
        <v>24</v>
      </c>
      <c r="D415" s="36">
        <v>30</v>
      </c>
      <c r="E415" s="3" t="str">
        <f>"TRANSALINETAS LOG-AGOSTO"</f>
        <v>TRANSALINETAS LOG-AGOSTO</v>
      </c>
      <c r="F415" s="2">
        <v>3745</v>
      </c>
      <c r="G415" s="7">
        <v>168.52</v>
      </c>
      <c r="H415" s="7">
        <v>168.52</v>
      </c>
      <c r="I415" s="30" t="s">
        <v>9</v>
      </c>
      <c r="J415" s="31">
        <v>1</v>
      </c>
    </row>
    <row r="416" spans="1:19" x14ac:dyDescent="0.25">
      <c r="A416" s="8">
        <v>45175</v>
      </c>
      <c r="B416" s="31" t="s">
        <v>13</v>
      </c>
      <c r="C416" s="35" t="s">
        <v>27</v>
      </c>
      <c r="D416" s="36">
        <v>1</v>
      </c>
      <c r="E416" s="3" t="str">
        <f>"MINIMOON EVENTOS-OLA LETRAS"</f>
        <v>MINIMOON EVENTOS-OLA LETRAS</v>
      </c>
      <c r="F416" s="2">
        <v>2023126</v>
      </c>
      <c r="G416" s="7">
        <v>2166.75</v>
      </c>
      <c r="H416" s="7">
        <v>2166.75</v>
      </c>
      <c r="I416" s="30" t="s">
        <v>9</v>
      </c>
      <c r="J416" s="31">
        <v>1</v>
      </c>
    </row>
    <row r="417" spans="1:10" x14ac:dyDescent="0.25">
      <c r="A417" s="8">
        <v>45175</v>
      </c>
      <c r="B417" s="31" t="s">
        <v>52</v>
      </c>
      <c r="C417" s="35" t="s">
        <v>33</v>
      </c>
      <c r="D417" s="36">
        <v>30</v>
      </c>
      <c r="E417" s="3" t="str">
        <f>"DISCOTECAS MOV-JULIO TEMUDAS"</f>
        <v>DISCOTECAS MOV-JULIO TEMUDAS</v>
      </c>
      <c r="F417" s="2">
        <v>114</v>
      </c>
      <c r="G417" s="7">
        <v>10165</v>
      </c>
      <c r="H417" s="7">
        <v>10165</v>
      </c>
      <c r="I417" s="30" t="s">
        <v>9</v>
      </c>
      <c r="J417" s="31">
        <v>1</v>
      </c>
    </row>
    <row r="418" spans="1:10" x14ac:dyDescent="0.25">
      <c r="A418" s="8">
        <v>45176</v>
      </c>
      <c r="B418" s="31" t="s">
        <v>15</v>
      </c>
      <c r="C418" s="35" t="s">
        <v>78</v>
      </c>
      <c r="D418" s="36">
        <v>2</v>
      </c>
      <c r="E418" s="3" t="str">
        <f>"JONICAMAR COMIDA ENTIERR SARDI"</f>
        <v>JONICAMAR COMIDA ENTIERR SARDI</v>
      </c>
      <c r="F418" s="2">
        <v>23036</v>
      </c>
      <c r="G418" s="7">
        <v>402.81</v>
      </c>
      <c r="H418" s="7">
        <v>402.81</v>
      </c>
      <c r="I418" s="30" t="s">
        <v>9</v>
      </c>
      <c r="J418" s="31">
        <v>1</v>
      </c>
    </row>
    <row r="419" spans="1:10" x14ac:dyDescent="0.25">
      <c r="A419" s="8">
        <v>45176</v>
      </c>
      <c r="B419" s="31" t="s">
        <v>15</v>
      </c>
      <c r="C419" s="35" t="s">
        <v>41</v>
      </c>
      <c r="D419" s="36">
        <v>1</v>
      </c>
      <c r="E419" s="3" t="str">
        <f>"NOBORU TAKAHASHI PROPUEST CART"</f>
        <v>NOBORU TAKAHASHI PROPUEST CART</v>
      </c>
      <c r="F419" s="2">
        <v>40</v>
      </c>
      <c r="G419" s="7">
        <v>460</v>
      </c>
      <c r="H419" s="7">
        <v>460</v>
      </c>
      <c r="I419" s="30" t="s">
        <v>9</v>
      </c>
      <c r="J419" s="31">
        <v>1</v>
      </c>
    </row>
    <row r="420" spans="1:10" x14ac:dyDescent="0.25">
      <c r="A420" s="8">
        <v>45176</v>
      </c>
      <c r="B420" s="31" t="s">
        <v>15</v>
      </c>
      <c r="C420" s="35" t="s">
        <v>46</v>
      </c>
      <c r="D420" s="36">
        <v>1</v>
      </c>
      <c r="E420" s="3" t="str">
        <f>"ELDER SORTEO ALGORÍA CARNAV"</f>
        <v>ELDER SORTEO ALGORÍA CARNAV</v>
      </c>
      <c r="F420" s="2">
        <v>28</v>
      </c>
      <c r="G420" s="7">
        <v>1926</v>
      </c>
      <c r="H420" s="7">
        <v>1926</v>
      </c>
      <c r="I420" s="30" t="s">
        <v>9</v>
      </c>
      <c r="J420" s="31">
        <v>1</v>
      </c>
    </row>
    <row r="421" spans="1:10" x14ac:dyDescent="0.25">
      <c r="A421" s="8">
        <v>45180</v>
      </c>
      <c r="B421" s="31" t="s">
        <v>15</v>
      </c>
      <c r="C421" s="35" t="s">
        <v>28</v>
      </c>
      <c r="D421" s="36">
        <v>1</v>
      </c>
      <c r="E421" s="3" t="str">
        <f>"ENRIQUE CURBELO-TEMAS CARNAVAL"</f>
        <v>ENRIQUE CURBELO-TEMAS CARNAVAL</v>
      </c>
      <c r="F421" s="2">
        <v>35</v>
      </c>
      <c r="G421" s="7">
        <v>82.8</v>
      </c>
      <c r="H421" s="7">
        <v>82.8</v>
      </c>
      <c r="I421" s="30" t="s">
        <v>9</v>
      </c>
      <c r="J421" s="31">
        <v>1</v>
      </c>
    </row>
    <row r="422" spans="1:10" x14ac:dyDescent="0.25">
      <c r="A422" s="8">
        <v>45180</v>
      </c>
      <c r="B422" s="31" t="s">
        <v>15</v>
      </c>
      <c r="C422" s="35" t="s">
        <v>33</v>
      </c>
      <c r="D422" s="36">
        <v>1</v>
      </c>
      <c r="E422" s="3" t="str">
        <f>"PRO.RIGGINS-ALQ.MOTORES VELOCI"</f>
        <v>PRO.RIGGINS-ALQ.MOTORES VELOCI</v>
      </c>
      <c r="F422" s="2">
        <v>8323</v>
      </c>
      <c r="G422" s="7">
        <v>158</v>
      </c>
      <c r="H422" s="7">
        <v>158</v>
      </c>
      <c r="I422" s="30" t="s">
        <v>9</v>
      </c>
      <c r="J422" s="31">
        <v>1</v>
      </c>
    </row>
    <row r="423" spans="1:10" x14ac:dyDescent="0.25">
      <c r="A423" s="8">
        <v>45180</v>
      </c>
      <c r="B423" s="31" t="s">
        <v>12</v>
      </c>
      <c r="C423" s="35" t="s">
        <v>68</v>
      </c>
      <c r="D423" s="36">
        <v>30</v>
      </c>
      <c r="E423" s="3" t="str">
        <f>"OLIVER GLEZ-AGOSTO MANTEN.C.LU"</f>
        <v>OLIVER GLEZ-AGOSTO MANTEN.C.LU</v>
      </c>
      <c r="F423" s="2">
        <v>135</v>
      </c>
      <c r="G423" s="7">
        <v>410.16</v>
      </c>
      <c r="H423" s="7">
        <v>410.16</v>
      </c>
      <c r="I423" s="30" t="s">
        <v>9</v>
      </c>
      <c r="J423" s="31">
        <v>1</v>
      </c>
    </row>
    <row r="424" spans="1:10" x14ac:dyDescent="0.25">
      <c r="A424" s="8">
        <v>45180</v>
      </c>
      <c r="B424" s="31" t="s">
        <v>11</v>
      </c>
      <c r="C424" s="35" t="s">
        <v>47</v>
      </c>
      <c r="D424" s="36">
        <v>365</v>
      </c>
      <c r="E424" s="3" t="str">
        <f>"MAPFRE-GC2295BV 09/23 A 09/24"</f>
        <v>MAPFRE-GC2295BV 09/23 A 09/24</v>
      </c>
      <c r="F424" s="2">
        <v>868149</v>
      </c>
      <c r="G424" s="7">
        <v>551.04999999999995</v>
      </c>
      <c r="H424" s="7">
        <v>551.04999999999995</v>
      </c>
      <c r="I424" s="30" t="s">
        <v>9</v>
      </c>
      <c r="J424" s="31">
        <v>1</v>
      </c>
    </row>
    <row r="425" spans="1:10" x14ac:dyDescent="0.25">
      <c r="A425" s="8">
        <v>45180</v>
      </c>
      <c r="B425" s="31" t="s">
        <v>15</v>
      </c>
      <c r="C425" s="35" t="s">
        <v>33</v>
      </c>
      <c r="D425" s="36">
        <v>1</v>
      </c>
      <c r="E425" s="3" t="str">
        <f>"CONS.ARUCLA-TRABAJOS M.LOIS"</f>
        <v>CONS.ARUCLA-TRABAJOS M.LOIS</v>
      </c>
      <c r="F425" s="2">
        <v>98</v>
      </c>
      <c r="G425" s="7">
        <v>610.33000000000004</v>
      </c>
      <c r="H425" s="7">
        <v>610.33000000000004</v>
      </c>
      <c r="I425" s="30" t="s">
        <v>9</v>
      </c>
      <c r="J425" s="31">
        <v>1</v>
      </c>
    </row>
    <row r="426" spans="1:10" x14ac:dyDescent="0.25">
      <c r="A426" s="8">
        <v>45180</v>
      </c>
      <c r="B426" s="31" t="s">
        <v>15</v>
      </c>
      <c r="C426" s="35" t="s">
        <v>33</v>
      </c>
      <c r="D426" s="36">
        <v>1</v>
      </c>
      <c r="E426" s="3" t="str">
        <f>"CONS.ARUCLA-TRABAJOS M. LOIS"</f>
        <v>CONS.ARUCLA-TRABAJOS M. LOIS</v>
      </c>
      <c r="F426" s="2">
        <v>99</v>
      </c>
      <c r="G426" s="7">
        <v>659.55</v>
      </c>
      <c r="H426" s="7">
        <v>659.55</v>
      </c>
      <c r="I426" s="30" t="s">
        <v>9</v>
      </c>
      <c r="J426" s="31">
        <v>1</v>
      </c>
    </row>
    <row r="427" spans="1:10" x14ac:dyDescent="0.25">
      <c r="A427" s="8">
        <v>45180</v>
      </c>
      <c r="B427" s="31" t="s">
        <v>11</v>
      </c>
      <c r="C427" s="35" t="s">
        <v>57</v>
      </c>
      <c r="D427" s="36">
        <v>1</v>
      </c>
      <c r="E427" s="3" t="str">
        <f>"OLIVER GLEZ-AGOSTO MATERIAL IN"</f>
        <v>OLIVER GLEZ-AGOSTO MATERIAL IN</v>
      </c>
      <c r="F427" s="2">
        <v>136</v>
      </c>
      <c r="G427" s="7">
        <v>744.72</v>
      </c>
      <c r="H427" s="7">
        <v>744.72</v>
      </c>
      <c r="I427" s="30" t="s">
        <v>9</v>
      </c>
      <c r="J427" s="31">
        <v>1</v>
      </c>
    </row>
    <row r="428" spans="1:10" x14ac:dyDescent="0.25">
      <c r="A428" s="8">
        <v>45180</v>
      </c>
      <c r="B428" s="31" t="s">
        <v>11</v>
      </c>
      <c r="C428" s="35" t="s">
        <v>68</v>
      </c>
      <c r="D428" s="36">
        <v>30</v>
      </c>
      <c r="E428" s="3" t="str">
        <f>"OLIVER GLEZ-AGOSTO MANTENIMIEN"</f>
        <v>OLIVER GLEZ-AGOSTO MANTENIMIEN</v>
      </c>
      <c r="F428" s="2">
        <v>133</v>
      </c>
      <c r="G428" s="7">
        <v>1070</v>
      </c>
      <c r="H428" s="7">
        <v>1070</v>
      </c>
      <c r="I428" s="30" t="s">
        <v>9</v>
      </c>
      <c r="J428" s="31">
        <v>1</v>
      </c>
    </row>
    <row r="429" spans="1:10" x14ac:dyDescent="0.25">
      <c r="A429" s="8">
        <v>45180</v>
      </c>
      <c r="B429" s="31" t="s">
        <v>15</v>
      </c>
      <c r="C429" s="35" t="s">
        <v>36</v>
      </c>
      <c r="D429" s="36">
        <v>1</v>
      </c>
      <c r="E429" s="3" t="str">
        <f>"GC DISEÑOS-TRAJE GR.DAMA"</f>
        <v>GC DISEÑOS-TRAJE GR.DAMA</v>
      </c>
      <c r="F429" s="2">
        <v>35</v>
      </c>
      <c r="G429" s="7">
        <v>1070</v>
      </c>
      <c r="H429" s="7">
        <v>1070</v>
      </c>
      <c r="I429" s="30" t="s">
        <v>9</v>
      </c>
      <c r="J429" s="31">
        <v>1</v>
      </c>
    </row>
    <row r="430" spans="1:10" x14ac:dyDescent="0.25">
      <c r="A430" s="8">
        <v>45180</v>
      </c>
      <c r="B430" s="31" t="s">
        <v>12</v>
      </c>
      <c r="C430" s="35" t="s">
        <v>32</v>
      </c>
      <c r="D430" s="36">
        <v>30</v>
      </c>
      <c r="E430" s="3" t="str">
        <f>"VISOR-AGOSTO RONDAS C. MATA"</f>
        <v>VISOR-AGOSTO RONDAS C. MATA</v>
      </c>
      <c r="F430" s="2">
        <v>1057</v>
      </c>
      <c r="G430" s="7">
        <v>1117.57</v>
      </c>
      <c r="H430" s="7">
        <v>1117.57</v>
      </c>
      <c r="I430" s="30" t="s">
        <v>9</v>
      </c>
      <c r="J430" s="31">
        <v>1</v>
      </c>
    </row>
    <row r="431" spans="1:10" x14ac:dyDescent="0.25">
      <c r="A431" s="8">
        <v>45180</v>
      </c>
      <c r="B431" s="31" t="s">
        <v>15</v>
      </c>
      <c r="C431" s="35" t="s">
        <v>32</v>
      </c>
      <c r="D431" s="36">
        <v>30</v>
      </c>
      <c r="E431" s="3" t="str">
        <f>"VISOR-AGOSTO RONDAS M. LOIS"</f>
        <v>VISOR-AGOSTO RONDAS M. LOIS</v>
      </c>
      <c r="F431" s="2">
        <v>1058</v>
      </c>
      <c r="G431" s="7">
        <v>1117.57</v>
      </c>
      <c r="H431" s="7">
        <v>1117.57</v>
      </c>
      <c r="I431" s="30" t="s">
        <v>9</v>
      </c>
      <c r="J431" s="31">
        <v>1</v>
      </c>
    </row>
    <row r="432" spans="1:10" x14ac:dyDescent="0.25">
      <c r="A432" s="8">
        <v>45180</v>
      </c>
      <c r="B432" s="31" t="s">
        <v>13</v>
      </c>
      <c r="C432" s="35" t="s">
        <v>68</v>
      </c>
      <c r="D432" s="36">
        <v>30</v>
      </c>
      <c r="E432" s="3" t="str">
        <f>"OLIVER GLEZ-AGOSTO MANTEN.BIBL"</f>
        <v>OLIVER GLEZ-AGOSTO MANTEN.BIBL</v>
      </c>
      <c r="F432" s="2">
        <v>134</v>
      </c>
      <c r="G432" s="7">
        <v>1391</v>
      </c>
      <c r="H432" s="7">
        <v>1391</v>
      </c>
      <c r="I432" s="30" t="s">
        <v>9</v>
      </c>
      <c r="J432" s="31">
        <v>1</v>
      </c>
    </row>
    <row r="433" spans="1:10" x14ac:dyDescent="0.25">
      <c r="A433" s="8">
        <v>45180</v>
      </c>
      <c r="B433" s="31" t="s">
        <v>15</v>
      </c>
      <c r="C433" s="35" t="s">
        <v>33</v>
      </c>
      <c r="D433" s="36">
        <v>1</v>
      </c>
      <c r="E433" s="3" t="str">
        <f>"CONS.ARUCLA-TRABAJOS M.LOIS"</f>
        <v>CONS.ARUCLA-TRABAJOS M.LOIS</v>
      </c>
      <c r="F433" s="2">
        <v>95</v>
      </c>
      <c r="G433" s="7">
        <v>1812.26</v>
      </c>
      <c r="H433" s="7">
        <v>1812.26</v>
      </c>
      <c r="I433" s="30" t="s">
        <v>9</v>
      </c>
      <c r="J433" s="31">
        <v>1</v>
      </c>
    </row>
    <row r="434" spans="1:10" x14ac:dyDescent="0.25">
      <c r="A434" s="8">
        <v>45180</v>
      </c>
      <c r="B434" s="31" t="s">
        <v>15</v>
      </c>
      <c r="C434" s="35" t="s">
        <v>32</v>
      </c>
      <c r="D434" s="36">
        <v>30</v>
      </c>
      <c r="E434" s="3" t="str">
        <f>"VISOR-AGOSTO VIGILANCIA M.LOIS"</f>
        <v>VISOR-AGOSTO VIGILANCIA M.LOIS</v>
      </c>
      <c r="F434" s="2">
        <v>1014</v>
      </c>
      <c r="G434" s="7">
        <v>3608.07</v>
      </c>
      <c r="H434" s="7">
        <v>3608.07</v>
      </c>
      <c r="I434" s="30" t="s">
        <v>9</v>
      </c>
      <c r="J434" s="31">
        <v>1</v>
      </c>
    </row>
    <row r="435" spans="1:10" x14ac:dyDescent="0.25">
      <c r="A435" s="8">
        <v>45180</v>
      </c>
      <c r="B435" s="31" t="s">
        <v>12</v>
      </c>
      <c r="C435" s="35" t="s">
        <v>20</v>
      </c>
      <c r="D435" s="36">
        <v>30</v>
      </c>
      <c r="E435" s="3" t="str">
        <f>"COSME ORITZ-SEPT.ALQ.LCO.1ºMAY"</f>
        <v>COSME ORITZ-SEPT.ALQ.LCO.1ºMAY</v>
      </c>
      <c r="F435" s="2">
        <v>102</v>
      </c>
      <c r="G435" s="7">
        <v>5280</v>
      </c>
      <c r="H435" s="7">
        <v>5280</v>
      </c>
      <c r="I435" s="30" t="s">
        <v>9</v>
      </c>
      <c r="J435" s="31">
        <v>1</v>
      </c>
    </row>
    <row r="436" spans="1:10" x14ac:dyDescent="0.25">
      <c r="A436" s="8">
        <v>45180</v>
      </c>
      <c r="B436" s="31" t="s">
        <v>15</v>
      </c>
      <c r="C436" s="35" t="s">
        <v>33</v>
      </c>
      <c r="D436" s="36">
        <v>1</v>
      </c>
      <c r="E436" s="3" t="str">
        <f>"PRO.RIGGINS-MOTORES VELOCIDAD"</f>
        <v>PRO.RIGGINS-MOTORES VELOCIDAD</v>
      </c>
      <c r="F436" s="2">
        <v>8223</v>
      </c>
      <c r="G436" s="7">
        <v>9520</v>
      </c>
      <c r="H436" s="7">
        <v>9520</v>
      </c>
      <c r="I436" s="30" t="s">
        <v>9</v>
      </c>
      <c r="J436" s="31">
        <v>1</v>
      </c>
    </row>
    <row r="437" spans="1:10" x14ac:dyDescent="0.25">
      <c r="A437" s="8">
        <v>45181</v>
      </c>
      <c r="B437" s="31" t="s">
        <v>15</v>
      </c>
      <c r="C437" s="35" t="s">
        <v>37</v>
      </c>
      <c r="D437" s="36">
        <v>1</v>
      </c>
      <c r="E437" s="3" t="str">
        <f>"ARC KISAMBA-TRASLADO COMPARSA"</f>
        <v>ARC KISAMBA-TRASLADO COMPARSA</v>
      </c>
      <c r="F437" s="2">
        <v>4</v>
      </c>
      <c r="G437" s="7">
        <v>180</v>
      </c>
      <c r="H437" s="7">
        <v>180</v>
      </c>
      <c r="I437" s="30" t="s">
        <v>9</v>
      </c>
      <c r="J437" s="31">
        <v>1</v>
      </c>
    </row>
    <row r="438" spans="1:10" x14ac:dyDescent="0.25">
      <c r="A438" s="8">
        <v>45181</v>
      </c>
      <c r="B438" s="31" t="s">
        <v>15</v>
      </c>
      <c r="C438" s="35" t="s">
        <v>37</v>
      </c>
      <c r="D438" s="36">
        <v>1</v>
      </c>
      <c r="E438" s="3" t="str">
        <f>"ARC KISAMBA-TRASLADO COMPARSA"</f>
        <v>ARC KISAMBA-TRASLADO COMPARSA</v>
      </c>
      <c r="F438" s="2">
        <v>5</v>
      </c>
      <c r="G438" s="7">
        <v>250</v>
      </c>
      <c r="H438" s="7">
        <v>250</v>
      </c>
      <c r="I438" s="30" t="s">
        <v>9</v>
      </c>
      <c r="J438" s="31">
        <v>1</v>
      </c>
    </row>
    <row r="439" spans="1:10" x14ac:dyDescent="0.25">
      <c r="A439" s="8">
        <v>45181</v>
      </c>
      <c r="B439" s="31" t="s">
        <v>15</v>
      </c>
      <c r="C439" s="35" t="s">
        <v>33</v>
      </c>
      <c r="D439" s="36">
        <v>1</v>
      </c>
      <c r="E439" s="3" t="str">
        <f>"ELECNOR- APAGADO ILUMINACION"</f>
        <v>ELECNOR- APAGADO ILUMINACION</v>
      </c>
      <c r="F439" s="2">
        <v>80</v>
      </c>
      <c r="G439" s="7">
        <v>351.16</v>
      </c>
      <c r="H439" s="7">
        <v>351.16</v>
      </c>
      <c r="I439" s="30" t="s">
        <v>9</v>
      </c>
      <c r="J439" s="31">
        <v>1</v>
      </c>
    </row>
    <row r="440" spans="1:10" x14ac:dyDescent="0.25">
      <c r="A440" s="8">
        <v>45181</v>
      </c>
      <c r="B440" s="31" t="s">
        <v>15</v>
      </c>
      <c r="C440" s="35" t="s">
        <v>33</v>
      </c>
      <c r="D440" s="36">
        <v>1</v>
      </c>
      <c r="E440" s="3" t="str">
        <f>"ELECNOR-APAGADO ILUNIACION"</f>
        <v>ELECNOR-APAGADO ILUNIACION</v>
      </c>
      <c r="F440" s="2">
        <v>3</v>
      </c>
      <c r="G440" s="7">
        <v>351.16</v>
      </c>
      <c r="H440" s="7">
        <v>351.16</v>
      </c>
      <c r="I440" s="30" t="s">
        <v>9</v>
      </c>
      <c r="J440" s="31">
        <v>1</v>
      </c>
    </row>
    <row r="441" spans="1:10" x14ac:dyDescent="0.25">
      <c r="A441" s="8">
        <v>45181</v>
      </c>
      <c r="B441" s="31" t="s">
        <v>13</v>
      </c>
      <c r="C441" s="35" t="s">
        <v>27</v>
      </c>
      <c r="D441" s="36">
        <v>1</v>
      </c>
      <c r="E441" s="3" t="str">
        <f>"JUAN J.SALAMANCA-CLUB LECTURA"</f>
        <v>JUAN J.SALAMANCA-CLUB LECTURA</v>
      </c>
      <c r="F441" s="2">
        <v>5</v>
      </c>
      <c r="G441" s="7">
        <v>500</v>
      </c>
      <c r="H441" s="7">
        <v>500</v>
      </c>
      <c r="I441" s="30" t="s">
        <v>9</v>
      </c>
      <c r="J441" s="31">
        <v>1</v>
      </c>
    </row>
    <row r="442" spans="1:10" x14ac:dyDescent="0.25">
      <c r="A442" s="8">
        <v>45181</v>
      </c>
      <c r="B442" s="31" t="s">
        <v>12</v>
      </c>
      <c r="C442" s="35" t="s">
        <v>29</v>
      </c>
      <c r="D442" s="36">
        <v>1</v>
      </c>
      <c r="E442" s="3" t="str">
        <f>"FUND.NARRATIV-EXPO JUAN NEGRIN"</f>
        <v>FUND.NARRATIV-EXPO JUAN NEGRIN</v>
      </c>
      <c r="F442" s="2">
        <v>74</v>
      </c>
      <c r="G442" s="7">
        <v>3700</v>
      </c>
      <c r="H442" s="7">
        <v>3700</v>
      </c>
      <c r="I442" s="30" t="s">
        <v>9</v>
      </c>
      <c r="J442" s="31">
        <v>1</v>
      </c>
    </row>
    <row r="443" spans="1:10" x14ac:dyDescent="0.25">
      <c r="A443" s="8">
        <v>45182</v>
      </c>
      <c r="B443" s="31" t="s">
        <v>50</v>
      </c>
      <c r="C443" s="35" t="s">
        <v>29</v>
      </c>
      <c r="D443" s="36">
        <v>15</v>
      </c>
      <c r="E443" s="3" t="str">
        <f>"SANTANA JEREZ-FOTOCOP.F.CINE"</f>
        <v>SANTANA JEREZ-FOTOCOP.F.CINE</v>
      </c>
      <c r="F443" s="2">
        <v>2303208</v>
      </c>
      <c r="G443" s="7">
        <v>246.1</v>
      </c>
      <c r="H443" s="7">
        <v>246.1</v>
      </c>
      <c r="I443" s="30" t="s">
        <v>9</v>
      </c>
      <c r="J443" s="31">
        <v>1</v>
      </c>
    </row>
    <row r="444" spans="1:10" x14ac:dyDescent="0.25">
      <c r="A444" s="8">
        <v>45182</v>
      </c>
      <c r="B444" s="31" t="s">
        <v>11</v>
      </c>
      <c r="C444" s="35" t="s">
        <v>79</v>
      </c>
      <c r="D444" s="36">
        <v>1</v>
      </c>
      <c r="E444" s="3" t="str">
        <f>"UNIF.LABORAL-ROPA TRABAJO"</f>
        <v>UNIF.LABORAL-ROPA TRABAJO</v>
      </c>
      <c r="F444" s="2">
        <v>2023636</v>
      </c>
      <c r="G444" s="7">
        <v>876.43</v>
      </c>
      <c r="H444" s="7">
        <v>876.43</v>
      </c>
      <c r="I444" s="30" t="s">
        <v>9</v>
      </c>
      <c r="J444" s="31">
        <v>1</v>
      </c>
    </row>
    <row r="445" spans="1:10" x14ac:dyDescent="0.25">
      <c r="A445" s="8">
        <v>45184</v>
      </c>
      <c r="B445" s="31" t="s">
        <v>11</v>
      </c>
      <c r="C445" s="35" t="s">
        <v>54</v>
      </c>
      <c r="D445" s="36">
        <v>1</v>
      </c>
      <c r="E445" s="3" t="str">
        <f>"NEUMATICO MITO - RUEDAS CAMION"</f>
        <v>NEUMATICO MITO - RUEDAS CAMION</v>
      </c>
      <c r="F445" s="2">
        <v>12772</v>
      </c>
      <c r="G445" s="7">
        <v>214.8</v>
      </c>
      <c r="H445" s="7">
        <v>214.8</v>
      </c>
      <c r="I445" s="30" t="s">
        <v>9</v>
      </c>
      <c r="J445" s="31">
        <v>1</v>
      </c>
    </row>
    <row r="446" spans="1:10" x14ac:dyDescent="0.25">
      <c r="A446" s="8">
        <v>45184</v>
      </c>
      <c r="B446" s="31" t="s">
        <v>18</v>
      </c>
      <c r="C446" s="35" t="s">
        <v>41</v>
      </c>
      <c r="D446" s="36">
        <v>1</v>
      </c>
      <c r="E446" s="3" t="str">
        <f>"SERICAN - LONAS CULTURA LPA"</f>
        <v>SERICAN - LONAS CULTURA LPA</v>
      </c>
      <c r="F446" s="2">
        <v>39382</v>
      </c>
      <c r="G446" s="7">
        <v>613.88</v>
      </c>
      <c r="H446" s="7">
        <v>613.88</v>
      </c>
      <c r="I446" s="30" t="s">
        <v>9</v>
      </c>
      <c r="J446" s="31">
        <v>1</v>
      </c>
    </row>
    <row r="447" spans="1:10" x14ac:dyDescent="0.25">
      <c r="A447" s="8">
        <v>45184</v>
      </c>
      <c r="B447" s="31" t="s">
        <v>13</v>
      </c>
      <c r="C447" s="35" t="s">
        <v>27</v>
      </c>
      <c r="D447" s="36">
        <v>1</v>
      </c>
      <c r="E447" s="3" t="str">
        <f>"INEXUS INF. - OLA DE LETRAS"</f>
        <v>INEXUS INF. - OLA DE LETRAS</v>
      </c>
      <c r="F447" s="2">
        <v>48268</v>
      </c>
      <c r="G447" s="7">
        <v>702.29</v>
      </c>
      <c r="H447" s="7">
        <v>702.29</v>
      </c>
      <c r="I447" s="30" t="s">
        <v>9</v>
      </c>
      <c r="J447" s="31">
        <v>1</v>
      </c>
    </row>
    <row r="448" spans="1:10" x14ac:dyDescent="0.25">
      <c r="A448" s="8">
        <v>45184</v>
      </c>
      <c r="B448" s="31" t="s">
        <v>13</v>
      </c>
      <c r="C448" s="35" t="s">
        <v>27</v>
      </c>
      <c r="D448" s="36">
        <v>1</v>
      </c>
      <c r="E448" s="3" t="str">
        <f>"INEXUS INF. - OLA DE LETRAS"</f>
        <v>INEXUS INF. - OLA DE LETRAS</v>
      </c>
      <c r="F448" s="2">
        <v>48312</v>
      </c>
      <c r="G448" s="7">
        <v>2580.5</v>
      </c>
      <c r="H448" s="7">
        <v>2580.5</v>
      </c>
      <c r="I448" s="30" t="s">
        <v>9</v>
      </c>
      <c r="J448" s="31">
        <v>1</v>
      </c>
    </row>
    <row r="449" spans="1:10" x14ac:dyDescent="0.25">
      <c r="A449" s="8">
        <v>45184</v>
      </c>
      <c r="B449" s="31" t="s">
        <v>12</v>
      </c>
      <c r="C449" s="35" t="s">
        <v>29</v>
      </c>
      <c r="D449" s="36">
        <v>1</v>
      </c>
      <c r="E449" s="3" t="str">
        <f>"IDEA DE TMO Y COM. - ED. COMIC"</f>
        <v>IDEA DE TMO Y COM. - ED. COMIC</v>
      </c>
      <c r="F449" s="2">
        <v>6436</v>
      </c>
      <c r="G449" s="7">
        <v>14980</v>
      </c>
      <c r="H449" s="7">
        <v>14980</v>
      </c>
      <c r="I449" s="30" t="s">
        <v>9</v>
      </c>
      <c r="J449" s="31">
        <v>1</v>
      </c>
    </row>
    <row r="450" spans="1:10" x14ac:dyDescent="0.25">
      <c r="A450" s="8">
        <v>45187</v>
      </c>
      <c r="B450" s="31" t="s">
        <v>11</v>
      </c>
      <c r="C450" s="35" t="s">
        <v>55</v>
      </c>
      <c r="D450" s="36">
        <v>30</v>
      </c>
      <c r="E450" s="3" t="str">
        <f>"TELEF.MOVILES-AGOSTO OTROS OPE"</f>
        <v>TELEF.MOVILES-AGOSTO OTROS OPE</v>
      </c>
      <c r="F450" s="2">
        <v>392188</v>
      </c>
      <c r="G450" s="7">
        <v>5.08</v>
      </c>
      <c r="H450" s="7">
        <v>5.08</v>
      </c>
      <c r="I450" s="30" t="s">
        <v>9</v>
      </c>
      <c r="J450" s="31">
        <v>1</v>
      </c>
    </row>
    <row r="451" spans="1:10" x14ac:dyDescent="0.25">
      <c r="A451" s="8">
        <v>45187</v>
      </c>
      <c r="B451" s="31" t="s">
        <v>18</v>
      </c>
      <c r="C451" s="35" t="s">
        <v>31</v>
      </c>
      <c r="D451" s="36">
        <v>30</v>
      </c>
      <c r="E451" s="3" t="str">
        <f>"ENDESA XXI-AGOSTO QUEGLES"</f>
        <v>ENDESA XXI-AGOSTO QUEGLES</v>
      </c>
      <c r="F451" s="2">
        <v>16344</v>
      </c>
      <c r="G451" s="7">
        <v>34.64</v>
      </c>
      <c r="H451" s="7">
        <v>34.64</v>
      </c>
      <c r="I451" s="30" t="s">
        <v>9</v>
      </c>
      <c r="J451" s="31">
        <v>1</v>
      </c>
    </row>
    <row r="452" spans="1:10" x14ac:dyDescent="0.25">
      <c r="A452" s="8">
        <v>45187</v>
      </c>
      <c r="B452" s="31" t="s">
        <v>52</v>
      </c>
      <c r="C452" s="35" t="s">
        <v>25</v>
      </c>
      <c r="D452" s="36">
        <v>1</v>
      </c>
      <c r="E452" s="3" t="str">
        <f>"NATALIA PUENTE - BILLETES"</f>
        <v>NATALIA PUENTE - BILLETES</v>
      </c>
      <c r="F452" s="2">
        <v>3</v>
      </c>
      <c r="G452" s="7">
        <v>140</v>
      </c>
      <c r="H452" s="7">
        <v>140</v>
      </c>
      <c r="I452" s="30" t="s">
        <v>9</v>
      </c>
      <c r="J452" s="31">
        <v>1</v>
      </c>
    </row>
    <row r="453" spans="1:10" x14ac:dyDescent="0.25">
      <c r="A453" s="8">
        <v>45187</v>
      </c>
      <c r="B453" s="31" t="s">
        <v>16</v>
      </c>
      <c r="C453" s="35" t="s">
        <v>31</v>
      </c>
      <c r="D453" s="36">
        <v>30</v>
      </c>
      <c r="E453" s="3" t="str">
        <f>"ENDESA XXI-AGOSTO EDIF. MILLER"</f>
        <v>ENDESA XXI-AGOSTO EDIF. MILLER</v>
      </c>
      <c r="F453" s="2">
        <v>16371</v>
      </c>
      <c r="G453" s="7">
        <v>207.3</v>
      </c>
      <c r="H453" s="7">
        <v>207.3</v>
      </c>
      <c r="I453" s="30" t="s">
        <v>9</v>
      </c>
      <c r="J453" s="31">
        <v>1</v>
      </c>
    </row>
    <row r="454" spans="1:10" x14ac:dyDescent="0.25">
      <c r="A454" s="8">
        <v>45187</v>
      </c>
      <c r="B454" s="31" t="s">
        <v>12</v>
      </c>
      <c r="C454" s="35" t="s">
        <v>35</v>
      </c>
      <c r="D454" s="36">
        <v>1</v>
      </c>
      <c r="E454" s="3" t="str">
        <f>"MARIA SELENIA-RUEDA PRENSA"</f>
        <v>MARIA SELENIA-RUEDA PRENSA</v>
      </c>
      <c r="F454" s="2">
        <v>31</v>
      </c>
      <c r="G454" s="7">
        <v>251.1</v>
      </c>
      <c r="H454" s="7">
        <v>251.1</v>
      </c>
      <c r="I454" s="30" t="s">
        <v>9</v>
      </c>
      <c r="J454" s="31">
        <v>1</v>
      </c>
    </row>
    <row r="455" spans="1:10" x14ac:dyDescent="0.25">
      <c r="A455" s="8">
        <v>45187</v>
      </c>
      <c r="B455" s="31" t="s">
        <v>52</v>
      </c>
      <c r="C455" s="35" t="s">
        <v>33</v>
      </c>
      <c r="D455" s="36">
        <v>1</v>
      </c>
      <c r="E455" s="3" t="str">
        <f>"ELEV. ARCHIPIELAGO - GRUP ELEC"</f>
        <v>ELEV. ARCHIPIELAGO - GRUP ELEC</v>
      </c>
      <c r="F455" s="2">
        <v>4259</v>
      </c>
      <c r="G455" s="7">
        <v>257.2</v>
      </c>
      <c r="H455" s="7">
        <v>257.2</v>
      </c>
      <c r="I455" s="30" t="s">
        <v>9</v>
      </c>
      <c r="J455" s="31">
        <v>1</v>
      </c>
    </row>
    <row r="456" spans="1:10" x14ac:dyDescent="0.25">
      <c r="A456" s="8">
        <v>45187</v>
      </c>
      <c r="B456" s="31" t="s">
        <v>52</v>
      </c>
      <c r="C456" s="35" t="s">
        <v>33</v>
      </c>
      <c r="D456" s="36">
        <v>1</v>
      </c>
      <c r="E456" s="3" t="str">
        <f>"ELEV. ARCHIPIELAGO - BRAZO ELE"</f>
        <v>ELEV. ARCHIPIELAGO - BRAZO ELE</v>
      </c>
      <c r="F456" s="2">
        <v>4258</v>
      </c>
      <c r="G456" s="7">
        <v>276.20999999999998</v>
      </c>
      <c r="H456" s="7">
        <v>276.20999999999998</v>
      </c>
      <c r="I456" s="30" t="s">
        <v>9</v>
      </c>
      <c r="J456" s="31">
        <v>1</v>
      </c>
    </row>
    <row r="457" spans="1:10" x14ac:dyDescent="0.25">
      <c r="A457" s="8">
        <v>45187</v>
      </c>
      <c r="B457" s="31" t="s">
        <v>18</v>
      </c>
      <c r="C457" s="35" t="s">
        <v>31</v>
      </c>
      <c r="D457" s="36">
        <v>30</v>
      </c>
      <c r="E457" s="3" t="str">
        <f>"ENDESA XXI-AGOSTO QUEGLES"</f>
        <v>ENDESA XXI-AGOSTO QUEGLES</v>
      </c>
      <c r="F457" s="2">
        <v>16370</v>
      </c>
      <c r="G457" s="7">
        <v>296.97000000000003</v>
      </c>
      <c r="H457" s="7">
        <v>296.97000000000003</v>
      </c>
      <c r="I457" s="30" t="s">
        <v>9</v>
      </c>
      <c r="J457" s="31">
        <v>1</v>
      </c>
    </row>
    <row r="458" spans="1:10" x14ac:dyDescent="0.25">
      <c r="A458" s="8">
        <v>45187</v>
      </c>
      <c r="B458" s="31" t="s">
        <v>52</v>
      </c>
      <c r="C458" s="35" t="s">
        <v>33</v>
      </c>
      <c r="D458" s="36">
        <v>1</v>
      </c>
      <c r="E458" s="3" t="str">
        <f>"ELEV. ARCHIPIELAGO - GRUPO ELE"</f>
        <v>ELEV. ARCHIPIELAGO - GRUPO ELE</v>
      </c>
      <c r="F458" s="2">
        <v>4409</v>
      </c>
      <c r="G458" s="7">
        <v>364.2</v>
      </c>
      <c r="H458" s="7">
        <v>364.2</v>
      </c>
      <c r="I458" s="30" t="s">
        <v>9</v>
      </c>
      <c r="J458" s="31">
        <v>1</v>
      </c>
    </row>
    <row r="459" spans="1:10" x14ac:dyDescent="0.25">
      <c r="A459" s="8">
        <v>45187</v>
      </c>
      <c r="B459" s="31" t="s">
        <v>52</v>
      </c>
      <c r="C459" s="35" t="s">
        <v>66</v>
      </c>
      <c r="D459" s="36">
        <v>1</v>
      </c>
      <c r="E459" s="3" t="str">
        <f>"BERNARDINO ABAD - CIA TRUCA CI"</f>
        <v>BERNARDINO ABAD - CIA TRUCA CI</v>
      </c>
      <c r="F459" s="2">
        <v>6952</v>
      </c>
      <c r="G459" s="7">
        <v>400</v>
      </c>
      <c r="H459" s="7">
        <v>400</v>
      </c>
      <c r="I459" s="30" t="s">
        <v>9</v>
      </c>
      <c r="J459" s="31">
        <v>1</v>
      </c>
    </row>
    <row r="460" spans="1:10" x14ac:dyDescent="0.25">
      <c r="A460" s="8">
        <v>45187</v>
      </c>
      <c r="B460" s="31" t="s">
        <v>52</v>
      </c>
      <c r="C460" s="35" t="s">
        <v>66</v>
      </c>
      <c r="D460" s="36">
        <v>1</v>
      </c>
      <c r="E460" s="3" t="str">
        <f>"BERNARDINO ABAD - CIA 7BURBUJA"</f>
        <v>BERNARDINO ABAD - CIA 7BURBUJA</v>
      </c>
      <c r="F460" s="2">
        <v>6953</v>
      </c>
      <c r="G460" s="7">
        <v>400</v>
      </c>
      <c r="H460" s="7">
        <v>400</v>
      </c>
      <c r="I460" s="30" t="s">
        <v>9</v>
      </c>
      <c r="J460" s="31">
        <v>1</v>
      </c>
    </row>
    <row r="461" spans="1:10" x14ac:dyDescent="0.25">
      <c r="A461" s="8">
        <v>45187</v>
      </c>
      <c r="B461" s="31" t="s">
        <v>52</v>
      </c>
      <c r="C461" s="35" t="s">
        <v>66</v>
      </c>
      <c r="D461" s="36">
        <v>1</v>
      </c>
      <c r="E461" s="3" t="str">
        <f>"BERNARDINO ABAD - CIA SPASMO T"</f>
        <v>BERNARDINO ABAD - CIA SPASMO T</v>
      </c>
      <c r="F461" s="2">
        <v>6954</v>
      </c>
      <c r="G461" s="7">
        <v>400</v>
      </c>
      <c r="H461" s="7">
        <v>400</v>
      </c>
      <c r="I461" s="30" t="s">
        <v>9</v>
      </c>
      <c r="J461" s="31">
        <v>1</v>
      </c>
    </row>
    <row r="462" spans="1:10" x14ac:dyDescent="0.25">
      <c r="A462" s="8">
        <v>45187</v>
      </c>
      <c r="B462" s="31" t="s">
        <v>52</v>
      </c>
      <c r="C462" s="35" t="s">
        <v>66</v>
      </c>
      <c r="D462" s="36">
        <v>1</v>
      </c>
      <c r="E462" s="3" t="str">
        <f>"BERNARDINO ABAD - CIA OTRA DAN"</f>
        <v>BERNARDINO ABAD - CIA OTRA DAN</v>
      </c>
      <c r="F462" s="2">
        <v>6955</v>
      </c>
      <c r="G462" s="7">
        <v>400</v>
      </c>
      <c r="H462" s="7">
        <v>400</v>
      </c>
      <c r="I462" s="30" t="s">
        <v>9</v>
      </c>
      <c r="J462" s="31">
        <v>1</v>
      </c>
    </row>
    <row r="463" spans="1:10" x14ac:dyDescent="0.25">
      <c r="A463" s="8">
        <v>45187</v>
      </c>
      <c r="B463" s="31" t="s">
        <v>52</v>
      </c>
      <c r="C463" s="35" t="s">
        <v>66</v>
      </c>
      <c r="D463" s="36">
        <v>1</v>
      </c>
      <c r="E463" s="3" t="str">
        <f>"BERNARDINO ABAD - CIA ORAIN BI"</f>
        <v>BERNARDINO ABAD - CIA ORAIN BI</v>
      </c>
      <c r="F463" s="2">
        <v>6956</v>
      </c>
      <c r="G463" s="7">
        <v>400</v>
      </c>
      <c r="H463" s="7">
        <v>400</v>
      </c>
      <c r="I463" s="30" t="s">
        <v>9</v>
      </c>
      <c r="J463" s="31">
        <v>1</v>
      </c>
    </row>
    <row r="464" spans="1:10" x14ac:dyDescent="0.25">
      <c r="A464" s="8">
        <v>45187</v>
      </c>
      <c r="B464" s="31" t="s">
        <v>52</v>
      </c>
      <c r="C464" s="35" t="s">
        <v>66</v>
      </c>
      <c r="D464" s="36">
        <v>1</v>
      </c>
      <c r="E464" s="3" t="str">
        <f>"BERNARDINO ABAD - CIA ELECTRIC"</f>
        <v>BERNARDINO ABAD - CIA ELECTRIC</v>
      </c>
      <c r="F464" s="2">
        <v>6957</v>
      </c>
      <c r="G464" s="7">
        <v>400</v>
      </c>
      <c r="H464" s="7">
        <v>400</v>
      </c>
      <c r="I464" s="30" t="s">
        <v>9</v>
      </c>
      <c r="J464" s="31">
        <v>1</v>
      </c>
    </row>
    <row r="465" spans="1:10" x14ac:dyDescent="0.25">
      <c r="A465" s="8">
        <v>45187</v>
      </c>
      <c r="B465" s="31" t="s">
        <v>52</v>
      </c>
      <c r="C465" s="35" t="s">
        <v>66</v>
      </c>
      <c r="D465" s="36">
        <v>1</v>
      </c>
      <c r="E465" s="3" t="str">
        <f>"BERNARDINO ABAD - CIA THEATER"</f>
        <v>BERNARDINO ABAD - CIA THEATER</v>
      </c>
      <c r="F465" s="2">
        <v>7142</v>
      </c>
      <c r="G465" s="7">
        <v>400</v>
      </c>
      <c r="H465" s="7">
        <v>400</v>
      </c>
      <c r="I465" s="30" t="s">
        <v>9</v>
      </c>
      <c r="J465" s="31">
        <v>1</v>
      </c>
    </row>
    <row r="466" spans="1:10" x14ac:dyDescent="0.25">
      <c r="A466" s="8">
        <v>45187</v>
      </c>
      <c r="B466" s="31" t="s">
        <v>12</v>
      </c>
      <c r="C466" s="35" t="s">
        <v>34</v>
      </c>
      <c r="D466" s="36">
        <v>2</v>
      </c>
      <c r="E466" s="3" t="str">
        <f>"PAOLA MORALES - NOCHE MUSEOS"</f>
        <v>PAOLA MORALES - NOCHE MUSEOS</v>
      </c>
      <c r="F466" s="2">
        <v>14</v>
      </c>
      <c r="G466" s="7">
        <v>558</v>
      </c>
      <c r="H466" s="7">
        <v>558</v>
      </c>
      <c r="I466" s="30" t="s">
        <v>9</v>
      </c>
      <c r="J466" s="31">
        <v>1</v>
      </c>
    </row>
    <row r="467" spans="1:10" x14ac:dyDescent="0.25">
      <c r="A467" s="8">
        <v>45187</v>
      </c>
      <c r="B467" s="31" t="s">
        <v>52</v>
      </c>
      <c r="C467" s="35" t="s">
        <v>33</v>
      </c>
      <c r="D467" s="36">
        <v>1</v>
      </c>
      <c r="E467" s="3" t="str">
        <f>"EL TELAR CANARIO - SILLAS"</f>
        <v>EL TELAR CANARIO - SILLAS</v>
      </c>
      <c r="F467" s="2">
        <v>1970</v>
      </c>
      <c r="G467" s="7">
        <v>654.04999999999995</v>
      </c>
      <c r="H467" s="7">
        <v>654.04999999999995</v>
      </c>
      <c r="I467" s="30" t="s">
        <v>9</v>
      </c>
      <c r="J467" s="31">
        <v>1</v>
      </c>
    </row>
    <row r="468" spans="1:10" x14ac:dyDescent="0.25">
      <c r="A468" s="8">
        <v>45187</v>
      </c>
      <c r="B468" s="31" t="s">
        <v>52</v>
      </c>
      <c r="C468" s="35" t="s">
        <v>36</v>
      </c>
      <c r="D468" s="36">
        <v>1</v>
      </c>
      <c r="E468" s="3" t="str">
        <f>"MONGE ASOC.-SINFONICA CLASICA"</f>
        <v>MONGE ASOC.-SINFONICA CLASICA</v>
      </c>
      <c r="F468" s="2">
        <v>479</v>
      </c>
      <c r="G468" s="7">
        <v>952.57</v>
      </c>
      <c r="H468" s="7">
        <v>952.57</v>
      </c>
      <c r="I468" s="30" t="s">
        <v>9</v>
      </c>
      <c r="J468" s="31">
        <v>1</v>
      </c>
    </row>
    <row r="469" spans="1:10" x14ac:dyDescent="0.25">
      <c r="A469" s="8">
        <v>45187</v>
      </c>
      <c r="B469" s="31" t="s">
        <v>52</v>
      </c>
      <c r="C469" s="35" t="s">
        <v>36</v>
      </c>
      <c r="D469" s="36">
        <v>1</v>
      </c>
      <c r="E469" s="3" t="str">
        <f>"RIDER SERVICE - BOLUDA"</f>
        <v>RIDER SERVICE - BOLUDA</v>
      </c>
      <c r="F469" s="2">
        <v>479</v>
      </c>
      <c r="G469" s="7">
        <v>1314.5</v>
      </c>
      <c r="H469" s="7">
        <v>1314.5</v>
      </c>
      <c r="I469" s="30" t="s">
        <v>9</v>
      </c>
      <c r="J469" s="31">
        <v>1</v>
      </c>
    </row>
    <row r="470" spans="1:10" x14ac:dyDescent="0.25">
      <c r="A470" s="8">
        <v>45187</v>
      </c>
      <c r="B470" s="31" t="s">
        <v>52</v>
      </c>
      <c r="C470" s="35" t="s">
        <v>33</v>
      </c>
      <c r="D470" s="36">
        <v>1</v>
      </c>
      <c r="E470" s="3" t="str">
        <f>"SAC 2.5 PLUS-SILLAS ALQUILER"</f>
        <v>SAC 2.5 PLUS-SILLAS ALQUILER</v>
      </c>
      <c r="F470" s="2">
        <v>9</v>
      </c>
      <c r="G470" s="7">
        <v>1498</v>
      </c>
      <c r="H470" s="7">
        <v>1498</v>
      </c>
      <c r="I470" s="30" t="s">
        <v>9</v>
      </c>
      <c r="J470" s="31">
        <v>1</v>
      </c>
    </row>
    <row r="471" spans="1:10" x14ac:dyDescent="0.25">
      <c r="A471" s="8">
        <v>45187</v>
      </c>
      <c r="B471" s="31" t="s">
        <v>52</v>
      </c>
      <c r="C471" s="35" t="s">
        <v>33</v>
      </c>
      <c r="D471" s="36">
        <v>1</v>
      </c>
      <c r="E471" s="3" t="str">
        <f>"ELEV. ARCHIPIELAGO - GROPO. EL"</f>
        <v>ELEV. ARCHIPIELAGO - GROPO. EL</v>
      </c>
      <c r="F471" s="2">
        <v>4189</v>
      </c>
      <c r="G471" s="7">
        <v>2270.8000000000002</v>
      </c>
      <c r="H471" s="7">
        <v>2270.8000000000002</v>
      </c>
      <c r="I471" s="30" t="s">
        <v>9</v>
      </c>
      <c r="J471" s="31">
        <v>1</v>
      </c>
    </row>
    <row r="472" spans="1:10" x14ac:dyDescent="0.25">
      <c r="A472" s="8">
        <v>45187</v>
      </c>
      <c r="B472" s="31" t="s">
        <v>52</v>
      </c>
      <c r="C472" s="35" t="s">
        <v>35</v>
      </c>
      <c r="D472" s="36">
        <v>30</v>
      </c>
      <c r="E472" s="3" t="str">
        <f>"JORGE RDGZ ALAMO - RRSS"</f>
        <v>JORGE RDGZ ALAMO - RRSS</v>
      </c>
      <c r="F472" s="2">
        <v>128</v>
      </c>
      <c r="G472" s="7">
        <v>2760</v>
      </c>
      <c r="H472" s="7">
        <v>2760</v>
      </c>
      <c r="I472" s="30" t="s">
        <v>9</v>
      </c>
      <c r="J472" s="31">
        <v>1</v>
      </c>
    </row>
    <row r="473" spans="1:10" x14ac:dyDescent="0.25">
      <c r="A473" s="8">
        <v>45187</v>
      </c>
      <c r="B473" s="31" t="s">
        <v>52</v>
      </c>
      <c r="C473" s="35" t="s">
        <v>33</v>
      </c>
      <c r="D473" s="36">
        <v>1</v>
      </c>
      <c r="E473" s="3" t="str">
        <f>"GRUPO LUJAN - TRASLADOS"</f>
        <v>GRUPO LUJAN - TRASLADOS</v>
      </c>
      <c r="F473" s="2">
        <v>252</v>
      </c>
      <c r="G473" s="7">
        <v>2902.68</v>
      </c>
      <c r="H473" s="7">
        <v>2902.68</v>
      </c>
      <c r="I473" s="30" t="s">
        <v>9</v>
      </c>
      <c r="J473" s="31">
        <v>1</v>
      </c>
    </row>
    <row r="474" spans="1:10" x14ac:dyDescent="0.25">
      <c r="A474" s="8">
        <v>45187</v>
      </c>
      <c r="B474" s="31" t="s">
        <v>52</v>
      </c>
      <c r="C474" s="35" t="s">
        <v>34</v>
      </c>
      <c r="D474" s="36">
        <v>1</v>
      </c>
      <c r="E474" s="3" t="str">
        <f>"LA MECANICA PROD-WATERS FALLS"</f>
        <v>LA MECANICA PROD-WATERS FALLS</v>
      </c>
      <c r="F474" s="2">
        <v>26</v>
      </c>
      <c r="G474" s="7">
        <v>3032.83</v>
      </c>
      <c r="H474" s="7">
        <v>3032.83</v>
      </c>
      <c r="I474" s="30" t="s">
        <v>9</v>
      </c>
      <c r="J474" s="31">
        <v>1</v>
      </c>
    </row>
    <row r="475" spans="1:10" x14ac:dyDescent="0.25">
      <c r="A475" s="8">
        <v>45187</v>
      </c>
      <c r="B475" s="31" t="s">
        <v>52</v>
      </c>
      <c r="C475" s="35" t="s">
        <v>67</v>
      </c>
      <c r="D475" s="36">
        <v>25</v>
      </c>
      <c r="E475" s="3" t="str">
        <f>"EMERG.COSTA CANARIA-TEMUDAS 23"</f>
        <v>EMERG.COSTA CANARIA-TEMUDAS 23</v>
      </c>
      <c r="F475" s="2">
        <v>281</v>
      </c>
      <c r="G475" s="7">
        <v>4080</v>
      </c>
      <c r="H475" s="7">
        <v>4080</v>
      </c>
      <c r="I475" s="30" t="s">
        <v>9</v>
      </c>
      <c r="J475" s="31">
        <v>1</v>
      </c>
    </row>
    <row r="476" spans="1:10" x14ac:dyDescent="0.25">
      <c r="A476" s="8">
        <v>45187</v>
      </c>
      <c r="B476" s="31" t="s">
        <v>13</v>
      </c>
      <c r="C476" s="35" t="s">
        <v>32</v>
      </c>
      <c r="D476" s="36">
        <v>30</v>
      </c>
      <c r="E476" s="3" t="str">
        <f>"CENPOL-AGOSTO JOSEF.DE LA TORR"</f>
        <v>CENPOL-AGOSTO JOSEF.DE LA TORR</v>
      </c>
      <c r="F476" s="2">
        <v>297</v>
      </c>
      <c r="G476" s="7">
        <v>4208.8500000000004</v>
      </c>
      <c r="H476" s="7">
        <v>4208.8500000000004</v>
      </c>
      <c r="I476" s="30" t="s">
        <v>9</v>
      </c>
      <c r="J476" s="31">
        <v>1</v>
      </c>
    </row>
    <row r="477" spans="1:10" x14ac:dyDescent="0.25">
      <c r="A477" s="8">
        <v>45187</v>
      </c>
      <c r="B477" s="31" t="s">
        <v>13</v>
      </c>
      <c r="C477" s="35" t="s">
        <v>32</v>
      </c>
      <c r="D477" s="36">
        <v>30</v>
      </c>
      <c r="E477" s="3" t="str">
        <f>"CENPOL- JULIO JOSEF. DE LA TOR"</f>
        <v>CENPOL- JULIO JOSEF. DE LA TOR</v>
      </c>
      <c r="F477" s="2">
        <v>267</v>
      </c>
      <c r="G477" s="7">
        <v>4228.1099999999997</v>
      </c>
      <c r="H477" s="7">
        <v>4228.1099999999997</v>
      </c>
      <c r="I477" s="30" t="s">
        <v>9</v>
      </c>
      <c r="J477" s="31">
        <v>1</v>
      </c>
    </row>
    <row r="478" spans="1:10" x14ac:dyDescent="0.25">
      <c r="A478" s="8">
        <v>45187</v>
      </c>
      <c r="B478" s="31" t="s">
        <v>52</v>
      </c>
      <c r="C478" s="35" t="s">
        <v>34</v>
      </c>
      <c r="D478" s="36">
        <v>1</v>
      </c>
      <c r="E478" s="3" t="str">
        <f>"GUIMEL AMARO-DESPROVISTO/UPART"</f>
        <v>GUIMEL AMARO-DESPROVISTO/UPART</v>
      </c>
      <c r="F478" s="2">
        <v>18</v>
      </c>
      <c r="G478" s="7">
        <v>4930</v>
      </c>
      <c r="H478" s="7">
        <v>4930</v>
      </c>
      <c r="I478" s="30" t="s">
        <v>9</v>
      </c>
      <c r="J478" s="31">
        <v>1</v>
      </c>
    </row>
    <row r="479" spans="1:10" x14ac:dyDescent="0.25">
      <c r="A479" s="8">
        <v>45187</v>
      </c>
      <c r="B479" s="31" t="s">
        <v>52</v>
      </c>
      <c r="C479" s="35" t="s">
        <v>33</v>
      </c>
      <c r="D479" s="36">
        <v>8</v>
      </c>
      <c r="E479" s="3" t="str">
        <f>"EL TELAR CANARIO - SILLAS"</f>
        <v>EL TELAR CANARIO - SILLAS</v>
      </c>
      <c r="F479" s="2">
        <v>1969</v>
      </c>
      <c r="G479" s="7">
        <v>4985.2</v>
      </c>
      <c r="H479" s="7">
        <v>4985.2</v>
      </c>
      <c r="I479" s="30" t="s">
        <v>9</v>
      </c>
      <c r="J479" s="31">
        <v>1</v>
      </c>
    </row>
    <row r="480" spans="1:10" x14ac:dyDescent="0.25">
      <c r="A480" s="8">
        <v>45187</v>
      </c>
      <c r="B480" s="31" t="s">
        <v>52</v>
      </c>
      <c r="C480" s="35" t="s">
        <v>34</v>
      </c>
      <c r="D480" s="36">
        <v>1</v>
      </c>
      <c r="E480" s="3" t="str">
        <f>"FLORENCE VAUGEOIS-CIA. ORAIN B"</f>
        <v>FLORENCE VAUGEOIS-CIA. ORAIN B</v>
      </c>
      <c r="F480" s="2">
        <v>48</v>
      </c>
      <c r="G480" s="7">
        <v>6045</v>
      </c>
      <c r="H480" s="7">
        <v>6045</v>
      </c>
      <c r="I480" s="30" t="s">
        <v>9</v>
      </c>
      <c r="J480" s="31">
        <v>1</v>
      </c>
    </row>
    <row r="481" spans="1:10" x14ac:dyDescent="0.25">
      <c r="A481" s="8">
        <v>45187</v>
      </c>
      <c r="B481" s="31" t="s">
        <v>52</v>
      </c>
      <c r="C481" s="35" t="s">
        <v>25</v>
      </c>
      <c r="D481" s="36">
        <v>1</v>
      </c>
      <c r="E481" s="3" t="str">
        <f>"LA FAM  TEATRE - BILLETES"</f>
        <v>LA FAM  TEATRE - BILLETES</v>
      </c>
      <c r="F481" s="2">
        <v>136</v>
      </c>
      <c r="G481" s="7">
        <v>6147.11</v>
      </c>
      <c r="H481" s="7">
        <v>6147.11</v>
      </c>
      <c r="I481" s="30" t="s">
        <v>9</v>
      </c>
      <c r="J481" s="31">
        <v>1</v>
      </c>
    </row>
    <row r="482" spans="1:10" x14ac:dyDescent="0.25">
      <c r="A482" s="8">
        <v>45187</v>
      </c>
      <c r="B482" s="31" t="s">
        <v>52</v>
      </c>
      <c r="C482" s="35" t="s">
        <v>34</v>
      </c>
      <c r="D482" s="36">
        <v>1</v>
      </c>
      <c r="E482" s="3" t="str">
        <f>"ELENA CARRASCAL-ARCHIP. DESAST"</f>
        <v>ELENA CARRASCAL-ARCHIP. DESAST</v>
      </c>
      <c r="F482" s="2">
        <v>23089</v>
      </c>
      <c r="G482" s="7">
        <v>6300</v>
      </c>
      <c r="H482" s="7">
        <v>6300</v>
      </c>
      <c r="I482" s="30" t="s">
        <v>9</v>
      </c>
      <c r="J482" s="31">
        <v>1</v>
      </c>
    </row>
    <row r="483" spans="1:10" x14ac:dyDescent="0.25">
      <c r="A483" s="8">
        <v>45187</v>
      </c>
      <c r="B483" s="31" t="s">
        <v>52</v>
      </c>
      <c r="C483" s="35" t="s">
        <v>34</v>
      </c>
      <c r="D483" s="36">
        <v>1</v>
      </c>
      <c r="E483" s="3" t="str">
        <f>"SPASMO TEATRO-MEJOR OBRA HISTO"</f>
        <v>SPASMO TEATRO-MEJOR OBRA HISTO</v>
      </c>
      <c r="F483" s="2">
        <v>76</v>
      </c>
      <c r="G483" s="7">
        <v>6400</v>
      </c>
      <c r="H483" s="7">
        <v>6400</v>
      </c>
      <c r="I483" s="30" t="s">
        <v>9</v>
      </c>
      <c r="J483" s="31">
        <v>1</v>
      </c>
    </row>
    <row r="484" spans="1:10" x14ac:dyDescent="0.25">
      <c r="A484" s="8">
        <v>45187</v>
      </c>
      <c r="B484" s="31" t="s">
        <v>52</v>
      </c>
      <c r="C484" s="35" t="s">
        <v>34</v>
      </c>
      <c r="D484" s="36">
        <v>1</v>
      </c>
      <c r="E484" s="3" t="str">
        <f>"NOLETIA - ESPECT. SOPLA"</f>
        <v>NOLETIA - ESPECT. SOPLA</v>
      </c>
      <c r="F484" s="2">
        <v>230101</v>
      </c>
      <c r="G484" s="7">
        <v>7200</v>
      </c>
      <c r="H484" s="7">
        <v>7200</v>
      </c>
      <c r="I484" s="30" t="s">
        <v>9</v>
      </c>
      <c r="J484" s="31">
        <v>1</v>
      </c>
    </row>
    <row r="485" spans="1:10" x14ac:dyDescent="0.25">
      <c r="A485" s="8">
        <v>45188</v>
      </c>
      <c r="B485" s="31" t="s">
        <v>11</v>
      </c>
      <c r="C485" s="35" t="s">
        <v>55</v>
      </c>
      <c r="D485" s="36">
        <v>30</v>
      </c>
      <c r="E485" s="3" t="str">
        <f t="shared" ref="E485:E521" si="2">"TELEFONICA-AGOSTO FIJO"</f>
        <v>TELEFONICA-AGOSTO FIJO</v>
      </c>
      <c r="F485" s="2">
        <v>606972</v>
      </c>
      <c r="G485" s="7">
        <v>16.07</v>
      </c>
      <c r="H485" s="7">
        <v>16.07</v>
      </c>
      <c r="I485" s="30" t="s">
        <v>9</v>
      </c>
      <c r="J485" s="31">
        <v>1</v>
      </c>
    </row>
    <row r="486" spans="1:10" x14ac:dyDescent="0.25">
      <c r="A486" s="8">
        <v>45188</v>
      </c>
      <c r="B486" s="31" t="s">
        <v>11</v>
      </c>
      <c r="C486" s="35" t="s">
        <v>55</v>
      </c>
      <c r="D486" s="36">
        <v>30</v>
      </c>
      <c r="E486" s="3" t="str">
        <f t="shared" si="2"/>
        <v>TELEFONICA-AGOSTO FIJO</v>
      </c>
      <c r="F486" s="2">
        <v>607028</v>
      </c>
      <c r="G486" s="7">
        <v>19.13</v>
      </c>
      <c r="H486" s="7">
        <v>19.13</v>
      </c>
      <c r="I486" s="30" t="s">
        <v>9</v>
      </c>
      <c r="J486" s="31">
        <v>1</v>
      </c>
    </row>
    <row r="487" spans="1:10" x14ac:dyDescent="0.25">
      <c r="A487" s="8">
        <v>45188</v>
      </c>
      <c r="B487" s="31" t="s">
        <v>11</v>
      </c>
      <c r="C487" s="35" t="s">
        <v>55</v>
      </c>
      <c r="D487" s="36">
        <v>30</v>
      </c>
      <c r="E487" s="3" t="str">
        <f t="shared" si="2"/>
        <v>TELEFONICA-AGOSTO FIJO</v>
      </c>
      <c r="F487" s="2">
        <v>607026</v>
      </c>
      <c r="G487" s="7">
        <v>23.34</v>
      </c>
      <c r="H487" s="7">
        <v>23.34</v>
      </c>
      <c r="I487" s="30" t="s">
        <v>9</v>
      </c>
      <c r="J487" s="31">
        <v>1</v>
      </c>
    </row>
    <row r="488" spans="1:10" x14ac:dyDescent="0.25">
      <c r="A488" s="8">
        <v>45188</v>
      </c>
      <c r="B488" s="31" t="s">
        <v>11</v>
      </c>
      <c r="C488" s="35" t="s">
        <v>55</v>
      </c>
      <c r="D488" s="36">
        <v>30</v>
      </c>
      <c r="E488" s="3" t="str">
        <f t="shared" si="2"/>
        <v>TELEFONICA-AGOSTO FIJO</v>
      </c>
      <c r="F488" s="2">
        <v>606993</v>
      </c>
      <c r="G488" s="7">
        <v>40.04</v>
      </c>
      <c r="H488" s="7">
        <v>40.04</v>
      </c>
      <c r="I488" s="30" t="s">
        <v>9</v>
      </c>
      <c r="J488" s="31">
        <v>1</v>
      </c>
    </row>
    <row r="489" spans="1:10" x14ac:dyDescent="0.25">
      <c r="A489" s="8">
        <v>45188</v>
      </c>
      <c r="B489" s="31" t="s">
        <v>11</v>
      </c>
      <c r="C489" s="35" t="s">
        <v>55</v>
      </c>
      <c r="D489" s="36">
        <v>30</v>
      </c>
      <c r="E489" s="3" t="str">
        <f t="shared" si="2"/>
        <v>TELEFONICA-AGOSTO FIJO</v>
      </c>
      <c r="F489" s="2">
        <v>606992</v>
      </c>
      <c r="G489" s="7">
        <v>40.04</v>
      </c>
      <c r="H489" s="7">
        <v>40.04</v>
      </c>
      <c r="I489" s="30" t="s">
        <v>9</v>
      </c>
      <c r="J489" s="31">
        <v>1</v>
      </c>
    </row>
    <row r="490" spans="1:10" x14ac:dyDescent="0.25">
      <c r="A490" s="8">
        <v>45188</v>
      </c>
      <c r="B490" s="31" t="s">
        <v>11</v>
      </c>
      <c r="C490" s="35" t="s">
        <v>55</v>
      </c>
      <c r="D490" s="36">
        <v>30</v>
      </c>
      <c r="E490" s="3" t="str">
        <f t="shared" si="2"/>
        <v>TELEFONICA-AGOSTO FIJO</v>
      </c>
      <c r="F490" s="2">
        <v>606990</v>
      </c>
      <c r="G490" s="7">
        <v>40.04</v>
      </c>
      <c r="H490" s="7">
        <v>40.04</v>
      </c>
      <c r="I490" s="30" t="s">
        <v>9</v>
      </c>
      <c r="J490" s="31">
        <v>1</v>
      </c>
    </row>
    <row r="491" spans="1:10" x14ac:dyDescent="0.25">
      <c r="A491" s="8">
        <v>45188</v>
      </c>
      <c r="B491" s="31" t="s">
        <v>11</v>
      </c>
      <c r="C491" s="35" t="s">
        <v>55</v>
      </c>
      <c r="D491" s="36">
        <v>30</v>
      </c>
      <c r="E491" s="3" t="str">
        <f t="shared" si="2"/>
        <v>TELEFONICA-AGOSTO FIJO</v>
      </c>
      <c r="F491" s="2">
        <v>606988</v>
      </c>
      <c r="G491" s="7">
        <v>40.04</v>
      </c>
      <c r="H491" s="7">
        <v>40.04</v>
      </c>
      <c r="I491" s="30" t="s">
        <v>9</v>
      </c>
      <c r="J491" s="31">
        <v>1</v>
      </c>
    </row>
    <row r="492" spans="1:10" x14ac:dyDescent="0.25">
      <c r="A492" s="8">
        <v>45188</v>
      </c>
      <c r="B492" s="31" t="s">
        <v>11</v>
      </c>
      <c r="C492" s="35" t="s">
        <v>55</v>
      </c>
      <c r="D492" s="36">
        <v>30</v>
      </c>
      <c r="E492" s="3" t="str">
        <f t="shared" si="2"/>
        <v>TELEFONICA-AGOSTO FIJO</v>
      </c>
      <c r="F492" s="2">
        <v>606989</v>
      </c>
      <c r="G492" s="7">
        <v>40.31</v>
      </c>
      <c r="H492" s="7">
        <v>40.31</v>
      </c>
      <c r="I492" s="30" t="s">
        <v>9</v>
      </c>
      <c r="J492" s="31">
        <v>1</v>
      </c>
    </row>
    <row r="493" spans="1:10" x14ac:dyDescent="0.25">
      <c r="A493" s="8">
        <v>45188</v>
      </c>
      <c r="B493" s="31" t="s">
        <v>11</v>
      </c>
      <c r="C493" s="35" t="s">
        <v>55</v>
      </c>
      <c r="D493" s="36">
        <v>30</v>
      </c>
      <c r="E493" s="3" t="str">
        <f t="shared" si="2"/>
        <v>TELEFONICA-AGOSTO FIJO</v>
      </c>
      <c r="F493" s="2">
        <v>606994</v>
      </c>
      <c r="G493" s="7">
        <v>44.73</v>
      </c>
      <c r="H493" s="7">
        <v>44.73</v>
      </c>
      <c r="I493" s="30" t="s">
        <v>9</v>
      </c>
      <c r="J493" s="31">
        <v>1</v>
      </c>
    </row>
    <row r="494" spans="1:10" x14ac:dyDescent="0.25">
      <c r="A494" s="8">
        <v>45188</v>
      </c>
      <c r="B494" s="31" t="s">
        <v>11</v>
      </c>
      <c r="C494" s="35" t="s">
        <v>55</v>
      </c>
      <c r="D494" s="36">
        <v>30</v>
      </c>
      <c r="E494" s="3" t="str">
        <f t="shared" si="2"/>
        <v>TELEFONICA-AGOSTO FIJO</v>
      </c>
      <c r="F494" s="2">
        <v>606964</v>
      </c>
      <c r="G494" s="7">
        <v>45.1</v>
      </c>
      <c r="H494" s="7">
        <v>45.1</v>
      </c>
      <c r="I494" s="30" t="s">
        <v>9</v>
      </c>
      <c r="J494" s="31">
        <v>1</v>
      </c>
    </row>
    <row r="495" spans="1:10" x14ac:dyDescent="0.25">
      <c r="A495" s="8">
        <v>45188</v>
      </c>
      <c r="B495" s="31" t="s">
        <v>11</v>
      </c>
      <c r="C495" s="35" t="s">
        <v>55</v>
      </c>
      <c r="D495" s="36">
        <v>30</v>
      </c>
      <c r="E495" s="3" t="str">
        <f t="shared" si="2"/>
        <v>TELEFONICA-AGOSTO FIJO</v>
      </c>
      <c r="F495" s="2">
        <v>606971</v>
      </c>
      <c r="G495" s="7">
        <v>45.98</v>
      </c>
      <c r="H495" s="7">
        <v>45.98</v>
      </c>
      <c r="I495" s="30" t="s">
        <v>9</v>
      </c>
      <c r="J495" s="31">
        <v>1</v>
      </c>
    </row>
    <row r="496" spans="1:10" x14ac:dyDescent="0.25">
      <c r="A496" s="8">
        <v>45188</v>
      </c>
      <c r="B496" s="31" t="s">
        <v>11</v>
      </c>
      <c r="C496" s="35" t="s">
        <v>55</v>
      </c>
      <c r="D496" s="36">
        <v>30</v>
      </c>
      <c r="E496" s="3" t="str">
        <f t="shared" si="2"/>
        <v>TELEFONICA-AGOSTO FIJO</v>
      </c>
      <c r="F496" s="2">
        <v>606981</v>
      </c>
      <c r="G496" s="7">
        <v>57.74</v>
      </c>
      <c r="H496" s="7">
        <v>57.74</v>
      </c>
      <c r="I496" s="30" t="s">
        <v>9</v>
      </c>
      <c r="J496" s="31">
        <v>1</v>
      </c>
    </row>
    <row r="497" spans="1:10" x14ac:dyDescent="0.25">
      <c r="A497" s="8">
        <v>45188</v>
      </c>
      <c r="B497" s="31" t="s">
        <v>11</v>
      </c>
      <c r="C497" s="35" t="s">
        <v>55</v>
      </c>
      <c r="D497" s="36">
        <v>30</v>
      </c>
      <c r="E497" s="3" t="str">
        <f t="shared" si="2"/>
        <v>TELEFONICA-AGOSTO FIJO</v>
      </c>
      <c r="F497" s="2">
        <v>606980</v>
      </c>
      <c r="G497" s="7">
        <v>57.74</v>
      </c>
      <c r="H497" s="7">
        <v>57.74</v>
      </c>
      <c r="I497" s="30" t="s">
        <v>9</v>
      </c>
      <c r="J497" s="31">
        <v>1</v>
      </c>
    </row>
    <row r="498" spans="1:10" x14ac:dyDescent="0.25">
      <c r="A498" s="8">
        <v>45188</v>
      </c>
      <c r="B498" s="31" t="s">
        <v>11</v>
      </c>
      <c r="C498" s="35" t="s">
        <v>55</v>
      </c>
      <c r="D498" s="36">
        <v>30</v>
      </c>
      <c r="E498" s="3" t="str">
        <f t="shared" si="2"/>
        <v>TELEFONICA-AGOSTO FIJO</v>
      </c>
      <c r="F498" s="2">
        <v>606979</v>
      </c>
      <c r="G498" s="7">
        <v>57.74</v>
      </c>
      <c r="H498" s="7">
        <v>57.74</v>
      </c>
      <c r="I498" s="30" t="s">
        <v>9</v>
      </c>
      <c r="J498" s="31">
        <v>1</v>
      </c>
    </row>
    <row r="499" spans="1:10" x14ac:dyDescent="0.25">
      <c r="A499" s="8">
        <v>45188</v>
      </c>
      <c r="B499" s="31" t="s">
        <v>11</v>
      </c>
      <c r="C499" s="35" t="s">
        <v>55</v>
      </c>
      <c r="D499" s="36">
        <v>30</v>
      </c>
      <c r="E499" s="3" t="str">
        <f t="shared" si="2"/>
        <v>TELEFONICA-AGOSTO FIJO</v>
      </c>
      <c r="F499" s="2">
        <v>606978</v>
      </c>
      <c r="G499" s="7">
        <v>57.74</v>
      </c>
      <c r="H499" s="7">
        <v>57.74</v>
      </c>
      <c r="I499" s="30" t="s">
        <v>9</v>
      </c>
      <c r="J499" s="31">
        <v>1</v>
      </c>
    </row>
    <row r="500" spans="1:10" x14ac:dyDescent="0.25">
      <c r="A500" s="8">
        <v>45188</v>
      </c>
      <c r="B500" s="31" t="s">
        <v>11</v>
      </c>
      <c r="C500" s="35" t="s">
        <v>55</v>
      </c>
      <c r="D500" s="36">
        <v>30</v>
      </c>
      <c r="E500" s="3" t="str">
        <f t="shared" si="2"/>
        <v>TELEFONICA-AGOSTO FIJO</v>
      </c>
      <c r="F500" s="2">
        <v>606987</v>
      </c>
      <c r="G500" s="7">
        <v>62.25</v>
      </c>
      <c r="H500" s="7">
        <v>62.25</v>
      </c>
      <c r="I500" s="30" t="s">
        <v>9</v>
      </c>
      <c r="J500" s="31">
        <v>1</v>
      </c>
    </row>
    <row r="501" spans="1:10" x14ac:dyDescent="0.25">
      <c r="A501" s="8">
        <v>45188</v>
      </c>
      <c r="B501" s="31" t="s">
        <v>11</v>
      </c>
      <c r="C501" s="35" t="s">
        <v>55</v>
      </c>
      <c r="D501" s="36">
        <v>30</v>
      </c>
      <c r="E501" s="3" t="str">
        <f t="shared" si="2"/>
        <v>TELEFONICA-AGOSTO FIJO</v>
      </c>
      <c r="F501" s="2">
        <v>606976</v>
      </c>
      <c r="G501" s="7">
        <v>62.25</v>
      </c>
      <c r="H501" s="7">
        <v>62.25</v>
      </c>
      <c r="I501" s="30" t="s">
        <v>9</v>
      </c>
      <c r="J501" s="31">
        <v>1</v>
      </c>
    </row>
    <row r="502" spans="1:10" x14ac:dyDescent="0.25">
      <c r="A502" s="8">
        <v>45188</v>
      </c>
      <c r="B502" s="31" t="s">
        <v>11</v>
      </c>
      <c r="C502" s="35" t="s">
        <v>55</v>
      </c>
      <c r="D502" s="36">
        <v>30</v>
      </c>
      <c r="E502" s="3" t="str">
        <f t="shared" si="2"/>
        <v>TELEFONICA-AGOSTO FIJO</v>
      </c>
      <c r="F502" s="2">
        <v>606985</v>
      </c>
      <c r="G502" s="7">
        <v>66.59</v>
      </c>
      <c r="H502" s="7">
        <v>66.59</v>
      </c>
      <c r="I502" s="30" t="s">
        <v>9</v>
      </c>
      <c r="J502" s="31">
        <v>1</v>
      </c>
    </row>
    <row r="503" spans="1:10" x14ac:dyDescent="0.25">
      <c r="A503" s="8">
        <v>45188</v>
      </c>
      <c r="B503" s="31" t="s">
        <v>11</v>
      </c>
      <c r="C503" s="35" t="s">
        <v>55</v>
      </c>
      <c r="D503" s="36">
        <v>30</v>
      </c>
      <c r="E503" s="3" t="str">
        <f t="shared" si="2"/>
        <v>TELEFONICA-AGOSTO FIJO</v>
      </c>
      <c r="F503" s="2">
        <v>606982</v>
      </c>
      <c r="G503" s="7">
        <v>66.59</v>
      </c>
      <c r="H503" s="7">
        <v>66.59</v>
      </c>
      <c r="I503" s="30" t="s">
        <v>9</v>
      </c>
      <c r="J503" s="31">
        <v>1</v>
      </c>
    </row>
    <row r="504" spans="1:10" x14ac:dyDescent="0.25">
      <c r="A504" s="8">
        <v>45188</v>
      </c>
      <c r="B504" s="31" t="s">
        <v>11</v>
      </c>
      <c r="C504" s="35" t="s">
        <v>55</v>
      </c>
      <c r="D504" s="36">
        <v>30</v>
      </c>
      <c r="E504" s="3" t="str">
        <f t="shared" si="2"/>
        <v>TELEFONICA-AGOSTO FIJO</v>
      </c>
      <c r="F504" s="2">
        <v>606977</v>
      </c>
      <c r="G504" s="7">
        <v>66.59</v>
      </c>
      <c r="H504" s="7">
        <v>66.59</v>
      </c>
      <c r="I504" s="30" t="s">
        <v>9</v>
      </c>
      <c r="J504" s="31">
        <v>1</v>
      </c>
    </row>
    <row r="505" spans="1:10" x14ac:dyDescent="0.25">
      <c r="A505" s="8">
        <v>45188</v>
      </c>
      <c r="B505" s="31" t="s">
        <v>11</v>
      </c>
      <c r="C505" s="35" t="s">
        <v>55</v>
      </c>
      <c r="D505" s="36">
        <v>30</v>
      </c>
      <c r="E505" s="3" t="str">
        <f t="shared" si="2"/>
        <v>TELEFONICA-AGOSTO FIJO</v>
      </c>
      <c r="F505" s="2">
        <v>606973</v>
      </c>
      <c r="G505" s="7">
        <v>66.59</v>
      </c>
      <c r="H505" s="7">
        <v>66.59</v>
      </c>
      <c r="I505" s="30" t="s">
        <v>9</v>
      </c>
      <c r="J505" s="31">
        <v>1</v>
      </c>
    </row>
    <row r="506" spans="1:10" x14ac:dyDescent="0.25">
      <c r="A506" s="8">
        <v>45188</v>
      </c>
      <c r="B506" s="31" t="s">
        <v>11</v>
      </c>
      <c r="C506" s="35" t="s">
        <v>55</v>
      </c>
      <c r="D506" s="36">
        <v>30</v>
      </c>
      <c r="E506" s="3" t="str">
        <f t="shared" si="2"/>
        <v>TELEFONICA-AGOSTO FIJO</v>
      </c>
      <c r="F506" s="2">
        <v>606986</v>
      </c>
      <c r="G506" s="7">
        <v>66.67</v>
      </c>
      <c r="H506" s="7">
        <v>66.67</v>
      </c>
      <c r="I506" s="30" t="s">
        <v>9</v>
      </c>
      <c r="J506" s="31">
        <v>1</v>
      </c>
    </row>
    <row r="507" spans="1:10" x14ac:dyDescent="0.25">
      <c r="A507" s="8">
        <v>45188</v>
      </c>
      <c r="B507" s="31" t="s">
        <v>11</v>
      </c>
      <c r="C507" s="35" t="s">
        <v>55</v>
      </c>
      <c r="D507" s="36">
        <v>30</v>
      </c>
      <c r="E507" s="3" t="str">
        <f t="shared" si="2"/>
        <v>TELEFONICA-AGOSTO FIJO</v>
      </c>
      <c r="F507" s="2">
        <v>606983</v>
      </c>
      <c r="G507" s="7">
        <v>66.67</v>
      </c>
      <c r="H507" s="7">
        <v>66.67</v>
      </c>
      <c r="I507" s="30" t="s">
        <v>9</v>
      </c>
      <c r="J507" s="31">
        <v>1</v>
      </c>
    </row>
    <row r="508" spans="1:10" x14ac:dyDescent="0.25">
      <c r="A508" s="8">
        <v>45188</v>
      </c>
      <c r="B508" s="31" t="s">
        <v>11</v>
      </c>
      <c r="C508" s="35" t="s">
        <v>55</v>
      </c>
      <c r="D508" s="36">
        <v>30</v>
      </c>
      <c r="E508" s="3" t="str">
        <f t="shared" si="2"/>
        <v>TELEFONICA-AGOSTO FIJO</v>
      </c>
      <c r="F508" s="2">
        <v>607025</v>
      </c>
      <c r="G508" s="7">
        <v>67.47</v>
      </c>
      <c r="H508" s="7">
        <v>67.47</v>
      </c>
      <c r="I508" s="30" t="s">
        <v>9</v>
      </c>
      <c r="J508" s="31">
        <v>1</v>
      </c>
    </row>
    <row r="509" spans="1:10" x14ac:dyDescent="0.25">
      <c r="A509" s="8">
        <v>45188</v>
      </c>
      <c r="B509" s="31" t="s">
        <v>11</v>
      </c>
      <c r="C509" s="35" t="s">
        <v>55</v>
      </c>
      <c r="D509" s="36">
        <v>30</v>
      </c>
      <c r="E509" s="3" t="str">
        <f t="shared" si="2"/>
        <v>TELEFONICA-AGOSTO FIJO</v>
      </c>
      <c r="F509" s="2">
        <v>606975</v>
      </c>
      <c r="G509" s="7">
        <v>68.83</v>
      </c>
      <c r="H509" s="7">
        <v>68.83</v>
      </c>
      <c r="I509" s="30" t="s">
        <v>9</v>
      </c>
      <c r="J509" s="31">
        <v>1</v>
      </c>
    </row>
    <row r="510" spans="1:10" x14ac:dyDescent="0.25">
      <c r="A510" s="8">
        <v>45188</v>
      </c>
      <c r="B510" s="31" t="s">
        <v>11</v>
      </c>
      <c r="C510" s="35" t="s">
        <v>55</v>
      </c>
      <c r="D510" s="36">
        <v>30</v>
      </c>
      <c r="E510" s="3" t="str">
        <f t="shared" si="2"/>
        <v>TELEFONICA-AGOSTO FIJO</v>
      </c>
      <c r="F510" s="2">
        <v>606984</v>
      </c>
      <c r="G510" s="7">
        <v>70.209999999999994</v>
      </c>
      <c r="H510" s="7">
        <v>70.209999999999994</v>
      </c>
      <c r="I510" s="30" t="s">
        <v>9</v>
      </c>
      <c r="J510" s="31">
        <v>1</v>
      </c>
    </row>
    <row r="511" spans="1:10" x14ac:dyDescent="0.25">
      <c r="A511" s="8">
        <v>45188</v>
      </c>
      <c r="B511" s="31" t="s">
        <v>11</v>
      </c>
      <c r="C511" s="35" t="s">
        <v>55</v>
      </c>
      <c r="D511" s="36">
        <v>30</v>
      </c>
      <c r="E511" s="3" t="str">
        <f t="shared" si="2"/>
        <v>TELEFONICA-AGOSTO FIJO</v>
      </c>
      <c r="F511" s="2">
        <v>606970</v>
      </c>
      <c r="G511" s="7">
        <v>71.099999999999994</v>
      </c>
      <c r="H511" s="7">
        <v>71.099999999999994</v>
      </c>
      <c r="I511" s="30" t="s">
        <v>9</v>
      </c>
      <c r="J511" s="31">
        <v>1</v>
      </c>
    </row>
    <row r="512" spans="1:10" x14ac:dyDescent="0.25">
      <c r="A512" s="8">
        <v>45188</v>
      </c>
      <c r="B512" s="31" t="s">
        <v>11</v>
      </c>
      <c r="C512" s="35" t="s">
        <v>55</v>
      </c>
      <c r="D512" s="36">
        <v>30</v>
      </c>
      <c r="E512" s="3" t="str">
        <f t="shared" si="2"/>
        <v>TELEFONICA-AGOSTO FIJO</v>
      </c>
      <c r="F512" s="2">
        <v>606969</v>
      </c>
      <c r="G512" s="7">
        <v>71.239999999999995</v>
      </c>
      <c r="H512" s="7">
        <v>71.239999999999995</v>
      </c>
      <c r="I512" s="30" t="s">
        <v>9</v>
      </c>
      <c r="J512" s="31">
        <v>1</v>
      </c>
    </row>
    <row r="513" spans="1:10" x14ac:dyDescent="0.25">
      <c r="A513" s="8">
        <v>45188</v>
      </c>
      <c r="B513" s="31" t="s">
        <v>11</v>
      </c>
      <c r="C513" s="35" t="s">
        <v>55</v>
      </c>
      <c r="D513" s="36">
        <v>30</v>
      </c>
      <c r="E513" s="3" t="str">
        <f t="shared" si="2"/>
        <v>TELEFONICA-AGOSTO FIJO</v>
      </c>
      <c r="F513" s="2">
        <v>607024</v>
      </c>
      <c r="G513" s="7">
        <v>74.63</v>
      </c>
      <c r="H513" s="7">
        <v>74.63</v>
      </c>
      <c r="I513" s="30" t="s">
        <v>9</v>
      </c>
      <c r="J513" s="31">
        <v>1</v>
      </c>
    </row>
    <row r="514" spans="1:10" x14ac:dyDescent="0.25">
      <c r="A514" s="8">
        <v>45188</v>
      </c>
      <c r="B514" s="31" t="s">
        <v>11</v>
      </c>
      <c r="C514" s="35" t="s">
        <v>55</v>
      </c>
      <c r="D514" s="36">
        <v>30</v>
      </c>
      <c r="E514" s="3" t="str">
        <f t="shared" si="2"/>
        <v>TELEFONICA-AGOSTO FIJO</v>
      </c>
      <c r="F514" s="2">
        <v>606965</v>
      </c>
      <c r="G514" s="7">
        <v>75.66</v>
      </c>
      <c r="H514" s="7">
        <v>75.66</v>
      </c>
      <c r="I514" s="30" t="s">
        <v>9</v>
      </c>
      <c r="J514" s="31">
        <v>1</v>
      </c>
    </row>
    <row r="515" spans="1:10" x14ac:dyDescent="0.25">
      <c r="A515" s="8">
        <v>45188</v>
      </c>
      <c r="B515" s="31" t="s">
        <v>11</v>
      </c>
      <c r="C515" s="35" t="s">
        <v>55</v>
      </c>
      <c r="D515" s="36">
        <v>30</v>
      </c>
      <c r="E515" s="3" t="str">
        <f t="shared" si="2"/>
        <v>TELEFONICA-AGOSTO FIJO</v>
      </c>
      <c r="F515" s="2">
        <v>606963</v>
      </c>
      <c r="G515" s="7">
        <v>78.97</v>
      </c>
      <c r="H515" s="7">
        <v>78.97</v>
      </c>
      <c r="I515" s="30" t="s">
        <v>9</v>
      </c>
      <c r="J515" s="31">
        <v>1</v>
      </c>
    </row>
    <row r="516" spans="1:10" x14ac:dyDescent="0.25">
      <c r="A516" s="8">
        <v>45188</v>
      </c>
      <c r="B516" s="31" t="s">
        <v>11</v>
      </c>
      <c r="C516" s="35" t="s">
        <v>55</v>
      </c>
      <c r="D516" s="36">
        <v>30</v>
      </c>
      <c r="E516" s="3" t="str">
        <f t="shared" si="2"/>
        <v>TELEFONICA-AGOSTO FIJO</v>
      </c>
      <c r="F516" s="2">
        <v>606974</v>
      </c>
      <c r="G516" s="7">
        <v>88.7</v>
      </c>
      <c r="H516" s="7">
        <v>88.7</v>
      </c>
      <c r="I516" s="30" t="s">
        <v>9</v>
      </c>
      <c r="J516" s="31">
        <v>1</v>
      </c>
    </row>
    <row r="517" spans="1:10" x14ac:dyDescent="0.25">
      <c r="A517" s="8">
        <v>45188</v>
      </c>
      <c r="B517" s="31" t="s">
        <v>11</v>
      </c>
      <c r="C517" s="35" t="s">
        <v>55</v>
      </c>
      <c r="D517" s="36">
        <v>30</v>
      </c>
      <c r="E517" s="3" t="str">
        <f t="shared" si="2"/>
        <v>TELEFONICA-AGOSTO FIJO</v>
      </c>
      <c r="F517" s="2">
        <v>607040</v>
      </c>
      <c r="G517" s="7">
        <v>99.51</v>
      </c>
      <c r="H517" s="7">
        <v>99.51</v>
      </c>
      <c r="I517" s="30" t="s">
        <v>9</v>
      </c>
      <c r="J517" s="31">
        <v>1</v>
      </c>
    </row>
    <row r="518" spans="1:10" x14ac:dyDescent="0.25">
      <c r="A518" s="8">
        <v>45188</v>
      </c>
      <c r="B518" s="31" t="s">
        <v>11</v>
      </c>
      <c r="C518" s="35" t="s">
        <v>55</v>
      </c>
      <c r="D518" s="36">
        <v>30</v>
      </c>
      <c r="E518" s="3" t="str">
        <f t="shared" si="2"/>
        <v>TELEFONICA-AGOSTO FIJO</v>
      </c>
      <c r="F518" s="2">
        <v>606962</v>
      </c>
      <c r="G518" s="7">
        <v>180.39</v>
      </c>
      <c r="H518" s="7">
        <v>180.39</v>
      </c>
      <c r="I518" s="30" t="s">
        <v>9</v>
      </c>
      <c r="J518" s="31">
        <v>1</v>
      </c>
    </row>
    <row r="519" spans="1:10" x14ac:dyDescent="0.25">
      <c r="A519" s="8">
        <v>45188</v>
      </c>
      <c r="B519" s="31" t="s">
        <v>11</v>
      </c>
      <c r="C519" s="35" t="s">
        <v>55</v>
      </c>
      <c r="D519" s="36">
        <v>30</v>
      </c>
      <c r="E519" s="3" t="str">
        <f t="shared" si="2"/>
        <v>TELEFONICA-AGOSTO FIJO</v>
      </c>
      <c r="F519" s="2">
        <v>607039</v>
      </c>
      <c r="G519" s="7">
        <v>202.55</v>
      </c>
      <c r="H519" s="7">
        <v>202.55</v>
      </c>
      <c r="I519" s="30" t="s">
        <v>9</v>
      </c>
      <c r="J519" s="31">
        <v>1</v>
      </c>
    </row>
    <row r="520" spans="1:10" x14ac:dyDescent="0.25">
      <c r="A520" s="8">
        <v>45188</v>
      </c>
      <c r="B520" s="31" t="s">
        <v>11</v>
      </c>
      <c r="C520" s="35" t="s">
        <v>55</v>
      </c>
      <c r="D520" s="36">
        <v>30</v>
      </c>
      <c r="E520" s="3" t="str">
        <f t="shared" si="2"/>
        <v>TELEFONICA-AGOSTO FIJO</v>
      </c>
      <c r="F520" s="2">
        <v>606968</v>
      </c>
      <c r="G520" s="7">
        <v>218.64</v>
      </c>
      <c r="H520" s="7">
        <v>218.64</v>
      </c>
      <c r="I520" s="30" t="s">
        <v>9</v>
      </c>
      <c r="J520" s="31">
        <v>1</v>
      </c>
    </row>
    <row r="521" spans="1:10" x14ac:dyDescent="0.25">
      <c r="A521" s="8">
        <v>45188</v>
      </c>
      <c r="B521" s="31" t="s">
        <v>11</v>
      </c>
      <c r="C521" s="35" t="s">
        <v>55</v>
      </c>
      <c r="D521" s="36">
        <v>30</v>
      </c>
      <c r="E521" s="3" t="str">
        <f t="shared" si="2"/>
        <v>TELEFONICA-AGOSTO FIJO</v>
      </c>
      <c r="F521" s="2">
        <v>607044</v>
      </c>
      <c r="G521" s="7">
        <v>429.57</v>
      </c>
      <c r="H521" s="7">
        <v>429.57</v>
      </c>
      <c r="I521" s="30" t="s">
        <v>9</v>
      </c>
      <c r="J521" s="31">
        <v>1</v>
      </c>
    </row>
    <row r="522" spans="1:10" x14ac:dyDescent="0.25">
      <c r="A522" s="8">
        <v>45188</v>
      </c>
      <c r="B522" s="31" t="s">
        <v>52</v>
      </c>
      <c r="C522" s="35" t="s">
        <v>33</v>
      </c>
      <c r="D522" s="36">
        <v>1</v>
      </c>
      <c r="E522" s="3" t="str">
        <f>"LFSOUND - TEMUDAS"</f>
        <v>LFSOUND - TEMUDAS</v>
      </c>
      <c r="F522" s="2">
        <v>441</v>
      </c>
      <c r="G522" s="7">
        <v>3460.38</v>
      </c>
      <c r="H522" s="7">
        <v>3460.38</v>
      </c>
      <c r="I522" s="30" t="s">
        <v>9</v>
      </c>
      <c r="J522" s="31">
        <v>1</v>
      </c>
    </row>
    <row r="523" spans="1:10" x14ac:dyDescent="0.25">
      <c r="A523" s="8">
        <v>45188</v>
      </c>
      <c r="B523" s="31" t="s">
        <v>12</v>
      </c>
      <c r="C523" s="35" t="s">
        <v>35</v>
      </c>
      <c r="D523" s="36">
        <v>8</v>
      </c>
      <c r="E523" s="3" t="str">
        <f>"MARIA SELENIA - RRSS"</f>
        <v>MARIA SELENIA - RRSS</v>
      </c>
      <c r="F523" s="2">
        <v>32</v>
      </c>
      <c r="G523" s="7">
        <v>4650</v>
      </c>
      <c r="H523" s="7">
        <v>4650</v>
      </c>
      <c r="I523" s="30" t="s">
        <v>9</v>
      </c>
      <c r="J523" s="31">
        <v>1</v>
      </c>
    </row>
    <row r="524" spans="1:10" x14ac:dyDescent="0.25">
      <c r="A524" s="8">
        <v>45188</v>
      </c>
      <c r="B524" s="31" t="s">
        <v>52</v>
      </c>
      <c r="C524" s="35" t="s">
        <v>33</v>
      </c>
      <c r="D524" s="36">
        <v>1</v>
      </c>
      <c r="E524" s="3" t="str">
        <f>"LFSOUND - ORAIN BI / MUTE"</f>
        <v>LFSOUND - ORAIN BI / MUTE</v>
      </c>
      <c r="F524" s="2">
        <v>440</v>
      </c>
      <c r="G524" s="7">
        <v>8356.7000000000007</v>
      </c>
      <c r="H524" s="7">
        <v>8356.7000000000007</v>
      </c>
      <c r="I524" s="30" t="s">
        <v>9</v>
      </c>
      <c r="J524" s="31">
        <v>1</v>
      </c>
    </row>
    <row r="525" spans="1:10" x14ac:dyDescent="0.25">
      <c r="A525" s="8">
        <v>45189</v>
      </c>
      <c r="B525" s="31" t="s">
        <v>52</v>
      </c>
      <c r="C525" s="35" t="s">
        <v>34</v>
      </c>
      <c r="D525" s="36">
        <v>1</v>
      </c>
      <c r="E525" s="3" t="str">
        <f>"ANNA ALAVEDRA - A LA FRESCA"</f>
        <v>ANNA ALAVEDRA - A LA FRESCA</v>
      </c>
      <c r="F525" s="2">
        <v>33</v>
      </c>
      <c r="G525" s="7">
        <v>5500</v>
      </c>
      <c r="H525" s="7">
        <v>5500</v>
      </c>
      <c r="I525" s="30" t="s">
        <v>9</v>
      </c>
      <c r="J525" s="31">
        <v>1</v>
      </c>
    </row>
    <row r="526" spans="1:10" x14ac:dyDescent="0.25">
      <c r="A526" s="8">
        <v>45190</v>
      </c>
      <c r="B526" s="31" t="s">
        <v>11</v>
      </c>
      <c r="C526" s="35" t="s">
        <v>68</v>
      </c>
      <c r="D526" s="36">
        <v>1</v>
      </c>
      <c r="E526" s="3" t="str">
        <f>"IDECNET-AMPLIACIN  EQUIPOS INF"</f>
        <v>IDECNET-AMPLIACIN  EQUIPOS INF</v>
      </c>
      <c r="F526" s="2">
        <v>900909</v>
      </c>
      <c r="G526" s="7">
        <v>114.06</v>
      </c>
      <c r="H526" s="7">
        <v>114.06</v>
      </c>
      <c r="I526" s="30" t="s">
        <v>9</v>
      </c>
      <c r="J526" s="31">
        <v>1</v>
      </c>
    </row>
    <row r="527" spans="1:10" x14ac:dyDescent="0.25">
      <c r="A527" s="8">
        <v>45190</v>
      </c>
      <c r="B527" s="31" t="s">
        <v>12</v>
      </c>
      <c r="C527" s="35" t="s">
        <v>34</v>
      </c>
      <c r="D527" s="36">
        <v>1</v>
      </c>
      <c r="E527" s="3" t="str">
        <f>"JEITO - FIESTAS DISTRITOS"</f>
        <v>JEITO - FIESTAS DISTRITOS</v>
      </c>
      <c r="F527" s="2">
        <v>36</v>
      </c>
      <c r="G527" s="7">
        <v>3103</v>
      </c>
      <c r="H527" s="7">
        <v>3103</v>
      </c>
      <c r="I527" s="30" t="s">
        <v>9</v>
      </c>
      <c r="J527" s="31">
        <v>1</v>
      </c>
    </row>
    <row r="528" spans="1:10" x14ac:dyDescent="0.25">
      <c r="A528" s="8">
        <v>45190</v>
      </c>
      <c r="B528" s="31" t="s">
        <v>39</v>
      </c>
      <c r="C528" s="35" t="s">
        <v>34</v>
      </c>
      <c r="D528" s="36">
        <v>1</v>
      </c>
      <c r="E528" s="3" t="str">
        <f>"ACTURA ARTE Y COM - MILLER FAM"</f>
        <v>ACTURA ARTE Y COM - MILLER FAM</v>
      </c>
      <c r="F528" s="2">
        <v>5852</v>
      </c>
      <c r="G528" s="7">
        <v>9630</v>
      </c>
      <c r="H528" s="7">
        <v>9630</v>
      </c>
      <c r="I528" s="30" t="s">
        <v>9</v>
      </c>
      <c r="J528" s="31">
        <v>1</v>
      </c>
    </row>
    <row r="529" spans="1:10" x14ac:dyDescent="0.25">
      <c r="A529" s="8">
        <v>45190</v>
      </c>
      <c r="B529" s="31" t="s">
        <v>11</v>
      </c>
      <c r="C529" s="35" t="s">
        <v>68</v>
      </c>
      <c r="D529" s="36">
        <v>365</v>
      </c>
      <c r="E529" s="3" t="str">
        <f>"IDECNET-04/23 A 03/24 ADM.SIST"</f>
        <v>IDECNET-04/23 A 03/24 ADM.SIST</v>
      </c>
      <c r="F529" s="2">
        <v>400034</v>
      </c>
      <c r="G529" s="7">
        <v>12940.58</v>
      </c>
      <c r="H529" s="7">
        <v>12940.58</v>
      </c>
      <c r="I529" s="30" t="s">
        <v>9</v>
      </c>
      <c r="J529" s="31">
        <v>1</v>
      </c>
    </row>
    <row r="530" spans="1:10" x14ac:dyDescent="0.25">
      <c r="A530" s="8">
        <v>45190</v>
      </c>
      <c r="B530" s="31" t="s">
        <v>15</v>
      </c>
      <c r="C530" s="35" t="s">
        <v>80</v>
      </c>
      <c r="D530" s="36">
        <v>1</v>
      </c>
      <c r="E530" s="3" t="str">
        <f>"ASOC. +PRIDESPORTS - MUJ ORGUL"</f>
        <v>ASOC. +PRIDESPORTS - MUJ ORGUL</v>
      </c>
      <c r="F530" s="2">
        <v>2</v>
      </c>
      <c r="G530" s="7">
        <v>15000</v>
      </c>
      <c r="H530" s="7">
        <v>15000</v>
      </c>
      <c r="I530" s="30" t="s">
        <v>9</v>
      </c>
      <c r="J530" s="31">
        <v>1</v>
      </c>
    </row>
    <row r="531" spans="1:10" x14ac:dyDescent="0.25">
      <c r="A531" s="8">
        <v>45191</v>
      </c>
      <c r="B531" s="31" t="s">
        <v>11</v>
      </c>
      <c r="C531" s="35" t="s">
        <v>25</v>
      </c>
      <c r="D531" s="36">
        <v>1</v>
      </c>
      <c r="E531" s="3" t="str">
        <f>"VIAJES INSULAR-BILLETES"</f>
        <v>VIAJES INSULAR-BILLETES</v>
      </c>
      <c r="F531" s="2">
        <v>13496</v>
      </c>
      <c r="G531" s="7">
        <v>166.66</v>
      </c>
      <c r="H531" s="7">
        <v>166.66</v>
      </c>
      <c r="I531" s="30" t="s">
        <v>9</v>
      </c>
      <c r="J531" s="31">
        <v>1</v>
      </c>
    </row>
    <row r="532" spans="1:10" x14ac:dyDescent="0.25">
      <c r="A532" s="8">
        <v>45191</v>
      </c>
      <c r="B532" s="31" t="s">
        <v>11</v>
      </c>
      <c r="C532" s="35" t="s">
        <v>55</v>
      </c>
      <c r="D532" s="36">
        <v>30</v>
      </c>
      <c r="E532" s="3" t="str">
        <f>"TELEFONICA MOVILES-AGOSTO"</f>
        <v>TELEFONICA MOVILES-AGOSTO</v>
      </c>
      <c r="F532" s="2">
        <v>430483</v>
      </c>
      <c r="G532" s="7">
        <v>364.02</v>
      </c>
      <c r="H532" s="7">
        <v>364.02</v>
      </c>
      <c r="I532" s="30" t="s">
        <v>9</v>
      </c>
      <c r="J532" s="31">
        <v>1</v>
      </c>
    </row>
    <row r="533" spans="1:10" x14ac:dyDescent="0.25">
      <c r="A533" s="8">
        <v>45191</v>
      </c>
      <c r="B533" s="31" t="s">
        <v>39</v>
      </c>
      <c r="C533" s="35" t="s">
        <v>43</v>
      </c>
      <c r="D533" s="36">
        <v>1</v>
      </c>
      <c r="E533" s="3" t="str">
        <f>"LEONARDO VARELA-PREMIO POESIA"</f>
        <v>LEONARDO VARELA-PREMIO POESIA</v>
      </c>
      <c r="F533" s="2">
        <v>40</v>
      </c>
      <c r="G533" s="7">
        <v>3800</v>
      </c>
      <c r="H533" s="7">
        <v>3800</v>
      </c>
      <c r="I533" s="30" t="s">
        <v>9</v>
      </c>
      <c r="J533" s="31">
        <v>1</v>
      </c>
    </row>
    <row r="534" spans="1:10" x14ac:dyDescent="0.25">
      <c r="A534" s="8">
        <v>45191</v>
      </c>
      <c r="B534" s="31" t="s">
        <v>12</v>
      </c>
      <c r="C534" s="35" t="s">
        <v>29</v>
      </c>
      <c r="D534" s="36">
        <v>30</v>
      </c>
      <c r="E534" s="3" t="str">
        <f>"GEST. DE EVENTOS - LPA VIVO"</f>
        <v>GEST. DE EVENTOS - LPA VIVO</v>
      </c>
      <c r="F534" s="2">
        <v>447</v>
      </c>
      <c r="G534" s="7">
        <v>4716.5600000000004</v>
      </c>
      <c r="H534" s="7">
        <v>4716.5600000000004</v>
      </c>
      <c r="I534" s="30" t="s">
        <v>9</v>
      </c>
      <c r="J534" s="31">
        <v>1</v>
      </c>
    </row>
    <row r="535" spans="1:10" x14ac:dyDescent="0.25">
      <c r="A535" s="8">
        <v>45191</v>
      </c>
      <c r="B535" s="31" t="s">
        <v>12</v>
      </c>
      <c r="C535" s="35" t="s">
        <v>29</v>
      </c>
      <c r="D535" s="36">
        <v>3</v>
      </c>
      <c r="E535" s="3" t="str">
        <f>"ASOC. MOJO DE CAÑA - NOCH MUSE"</f>
        <v>ASOC. MOJO DE CAÑA - NOCH MUSE</v>
      </c>
      <c r="F535" s="2">
        <v>11323</v>
      </c>
      <c r="G535" s="7">
        <v>14998.75</v>
      </c>
      <c r="H535" s="7">
        <v>14998.75</v>
      </c>
      <c r="I535" s="30" t="s">
        <v>9</v>
      </c>
      <c r="J535" s="31">
        <v>1</v>
      </c>
    </row>
    <row r="536" spans="1:10" x14ac:dyDescent="0.25">
      <c r="A536" s="8">
        <v>45195</v>
      </c>
      <c r="B536" s="31" t="s">
        <v>52</v>
      </c>
      <c r="C536" s="35" t="s">
        <v>81</v>
      </c>
      <c r="D536" s="36">
        <v>1</v>
      </c>
      <c r="E536" s="3" t="str">
        <f>"ASPY PREV. - RECON. MEDICOS"</f>
        <v>ASPY PREV. - RECON. MEDICOS</v>
      </c>
      <c r="F536" s="2">
        <v>90639</v>
      </c>
      <c r="G536" s="7">
        <v>268.56</v>
      </c>
      <c r="H536" s="7">
        <v>268.56</v>
      </c>
      <c r="I536" s="30" t="s">
        <v>9</v>
      </c>
      <c r="J536" s="31">
        <v>1</v>
      </c>
    </row>
    <row r="537" spans="1:10" x14ac:dyDescent="0.25">
      <c r="A537" s="8">
        <v>45195</v>
      </c>
      <c r="B537" s="31" t="s">
        <v>12</v>
      </c>
      <c r="C537" s="35" t="s">
        <v>29</v>
      </c>
      <c r="D537" s="36">
        <v>1</v>
      </c>
      <c r="E537" s="3" t="str">
        <f>"JESUS Mª MACHIN - ALQ. CONTRAB"</f>
        <v>JESUS Mª MACHIN - ALQ. CONTRAB</v>
      </c>
      <c r="F537" s="2">
        <v>11</v>
      </c>
      <c r="G537" s="7">
        <v>786.6</v>
      </c>
      <c r="H537" s="7">
        <v>786.6</v>
      </c>
      <c r="I537" s="30" t="s">
        <v>9</v>
      </c>
      <c r="J537" s="31">
        <v>1</v>
      </c>
    </row>
    <row r="538" spans="1:10" x14ac:dyDescent="0.25">
      <c r="A538" s="8">
        <v>45195</v>
      </c>
      <c r="B538" s="31" t="s">
        <v>52</v>
      </c>
      <c r="C538" s="35" t="s">
        <v>82</v>
      </c>
      <c r="D538" s="36">
        <v>28</v>
      </c>
      <c r="E538" s="3" t="str">
        <f>"CARMEN  RODRIGUEZ - MENUS"</f>
        <v>CARMEN  RODRIGUEZ - MENUS</v>
      </c>
      <c r="F538" s="2">
        <v>2</v>
      </c>
      <c r="G538" s="7">
        <v>1848</v>
      </c>
      <c r="H538" s="7">
        <v>1848</v>
      </c>
      <c r="I538" s="30" t="s">
        <v>9</v>
      </c>
      <c r="J538" s="31">
        <v>1</v>
      </c>
    </row>
    <row r="539" spans="1:10" x14ac:dyDescent="0.25">
      <c r="A539" s="8">
        <v>45195</v>
      </c>
      <c r="B539" s="31" t="s">
        <v>52</v>
      </c>
      <c r="C539" s="35" t="s">
        <v>36</v>
      </c>
      <c r="D539" s="36">
        <v>1</v>
      </c>
      <c r="E539" s="3" t="str">
        <f>"ANTONIO MANUEL MIRANDA - PRODU"</f>
        <v>ANTONIO MANUEL MIRANDA - PRODU</v>
      </c>
      <c r="F539" s="2">
        <v>13</v>
      </c>
      <c r="G539" s="7">
        <v>3700</v>
      </c>
      <c r="H539" s="7">
        <v>3700</v>
      </c>
      <c r="I539" s="30" t="s">
        <v>9</v>
      </c>
      <c r="J539" s="31">
        <v>1</v>
      </c>
    </row>
    <row r="540" spans="1:10" x14ac:dyDescent="0.25">
      <c r="A540" s="8">
        <v>45196</v>
      </c>
      <c r="B540" s="31" t="s">
        <v>13</v>
      </c>
      <c r="C540" s="35" t="s">
        <v>27</v>
      </c>
      <c r="D540" s="36">
        <v>1</v>
      </c>
      <c r="E540" s="3" t="str">
        <f>"ALMA ARMAS - OLA DE LETRAS"</f>
        <v>ALMA ARMAS - OLA DE LETRAS</v>
      </c>
      <c r="F540" s="2">
        <v>176</v>
      </c>
      <c r="G540" s="7">
        <v>148.80000000000001</v>
      </c>
      <c r="H540" s="7">
        <v>148.80000000000001</v>
      </c>
      <c r="I540" s="30" t="s">
        <v>9</v>
      </c>
      <c r="J540" s="31">
        <v>1</v>
      </c>
    </row>
    <row r="541" spans="1:10" x14ac:dyDescent="0.25">
      <c r="A541" s="8">
        <v>45196</v>
      </c>
      <c r="B541" s="31" t="s">
        <v>13</v>
      </c>
      <c r="C541" s="35" t="s">
        <v>27</v>
      </c>
      <c r="D541" s="36">
        <v>1</v>
      </c>
      <c r="E541" s="3" t="str">
        <f>"MARIA LORETO-ACTIVIDADES"</f>
        <v>MARIA LORETO-ACTIVIDADES</v>
      </c>
      <c r="F541" s="2">
        <v>3</v>
      </c>
      <c r="G541" s="7">
        <v>191.25</v>
      </c>
      <c r="H541" s="7">
        <v>191.25</v>
      </c>
      <c r="I541" s="30" t="s">
        <v>9</v>
      </c>
      <c r="J541" s="31">
        <v>1</v>
      </c>
    </row>
    <row r="542" spans="1:10" x14ac:dyDescent="0.25">
      <c r="A542" s="8">
        <v>45196</v>
      </c>
      <c r="B542" s="31" t="s">
        <v>50</v>
      </c>
      <c r="C542" s="35" t="s">
        <v>33</v>
      </c>
      <c r="D542" s="36">
        <v>1</v>
      </c>
      <c r="E542" s="3" t="str">
        <f>"MONT. MOV. - CINESA"</f>
        <v>MONT. MOV. - CINESA</v>
      </c>
      <c r="F542" s="2">
        <v>89</v>
      </c>
      <c r="G542" s="7">
        <v>283.55</v>
      </c>
      <c r="H542" s="7">
        <v>283.55</v>
      </c>
      <c r="I542" s="30" t="s">
        <v>9</v>
      </c>
      <c r="J542" s="31">
        <v>1</v>
      </c>
    </row>
    <row r="543" spans="1:10" x14ac:dyDescent="0.25">
      <c r="A543" s="8">
        <v>45196</v>
      </c>
      <c r="B543" s="31" t="s">
        <v>50</v>
      </c>
      <c r="C543" s="35" t="s">
        <v>33</v>
      </c>
      <c r="D543" s="36">
        <v>1</v>
      </c>
      <c r="E543" s="3" t="str">
        <f>"AUDIOVISUALES - SESION ZOOM"</f>
        <v>AUDIOVISUALES - SESION ZOOM</v>
      </c>
      <c r="F543" s="2">
        <v>38758</v>
      </c>
      <c r="G543" s="7">
        <v>437.04</v>
      </c>
      <c r="H543" s="7">
        <v>437.04</v>
      </c>
      <c r="I543" s="30" t="s">
        <v>9</v>
      </c>
      <c r="J543" s="31">
        <v>1</v>
      </c>
    </row>
    <row r="544" spans="1:10" x14ac:dyDescent="0.25">
      <c r="A544" s="8">
        <v>45196</v>
      </c>
      <c r="B544" s="31" t="s">
        <v>50</v>
      </c>
      <c r="C544" s="35" t="s">
        <v>33</v>
      </c>
      <c r="D544" s="36">
        <v>1</v>
      </c>
      <c r="E544" s="3" t="str">
        <f>"AUDIOVISUALES - SESION ZOOM DO"</f>
        <v>AUDIOVISUALES - SESION ZOOM DO</v>
      </c>
      <c r="F544" s="2">
        <v>38795</v>
      </c>
      <c r="G544" s="7">
        <v>568.23</v>
      </c>
      <c r="H544" s="7">
        <v>568.23</v>
      </c>
      <c r="I544" s="30" t="s">
        <v>9</v>
      </c>
      <c r="J544" s="31">
        <v>1</v>
      </c>
    </row>
    <row r="545" spans="1:10" x14ac:dyDescent="0.25">
      <c r="A545" s="8">
        <v>45196</v>
      </c>
      <c r="B545" s="31" t="s">
        <v>50</v>
      </c>
      <c r="C545" s="35" t="s">
        <v>41</v>
      </c>
      <c r="D545" s="36">
        <v>1</v>
      </c>
      <c r="E545" s="3" t="str">
        <f>"ANAPAC - LANYAR"</f>
        <v>ANAPAC - LANYAR</v>
      </c>
      <c r="F545" s="2">
        <v>1485</v>
      </c>
      <c r="G545" s="7">
        <v>590.64</v>
      </c>
      <c r="H545" s="7">
        <v>590.64</v>
      </c>
      <c r="I545" s="30" t="s">
        <v>9</v>
      </c>
      <c r="J545" s="31">
        <v>1</v>
      </c>
    </row>
    <row r="546" spans="1:10" x14ac:dyDescent="0.25">
      <c r="A546" s="8">
        <v>45196</v>
      </c>
      <c r="B546" s="31" t="s">
        <v>50</v>
      </c>
      <c r="C546" s="35" t="s">
        <v>35</v>
      </c>
      <c r="D546" s="36">
        <v>1</v>
      </c>
      <c r="E546" s="3" t="str">
        <f>"SERV. AUD. OVERON - VIDEO RESM"</f>
        <v>SERV. AUD. OVERON - VIDEO RESM</v>
      </c>
      <c r="F546" s="2">
        <v>103665</v>
      </c>
      <c r="G546" s="7">
        <v>620</v>
      </c>
      <c r="H546" s="7">
        <v>620</v>
      </c>
      <c r="I546" s="30" t="s">
        <v>9</v>
      </c>
      <c r="J546" s="31">
        <v>1</v>
      </c>
    </row>
    <row r="547" spans="1:10" x14ac:dyDescent="0.25">
      <c r="A547" s="8">
        <v>45196</v>
      </c>
      <c r="B547" s="31" t="s">
        <v>50</v>
      </c>
      <c r="C547" s="35" t="s">
        <v>33</v>
      </c>
      <c r="D547" s="36">
        <v>1</v>
      </c>
      <c r="E547" s="3" t="str">
        <f>"BLAS A. ACOSTA - AST. TECNICA"</f>
        <v>BLAS A. ACOSTA - AST. TECNICA</v>
      </c>
      <c r="F547" s="2">
        <v>22</v>
      </c>
      <c r="G547" s="7">
        <v>1237.4000000000001</v>
      </c>
      <c r="H547" s="7">
        <v>1237.4000000000001</v>
      </c>
      <c r="I547" s="30" t="s">
        <v>9</v>
      </c>
      <c r="J547" s="31">
        <v>1</v>
      </c>
    </row>
    <row r="548" spans="1:10" x14ac:dyDescent="0.25">
      <c r="A548" s="8">
        <v>45196</v>
      </c>
      <c r="B548" s="31" t="s">
        <v>50</v>
      </c>
      <c r="C548" s="35" t="s">
        <v>33</v>
      </c>
      <c r="D548" s="36">
        <v>1</v>
      </c>
      <c r="E548" s="3" t="str">
        <f>"AUDIOVISUALES - TRAD. SIMULTAN"</f>
        <v>AUDIOVISUALES - TRAD. SIMULTAN</v>
      </c>
      <c r="F548" s="2">
        <v>38805</v>
      </c>
      <c r="G548" s="7">
        <v>1716.16</v>
      </c>
      <c r="H548" s="7">
        <v>1716.16</v>
      </c>
      <c r="I548" s="30" t="s">
        <v>9</v>
      </c>
      <c r="J548" s="31">
        <v>1</v>
      </c>
    </row>
    <row r="549" spans="1:10" x14ac:dyDescent="0.25">
      <c r="A549" s="8">
        <v>45196</v>
      </c>
      <c r="B549" s="31" t="s">
        <v>50</v>
      </c>
      <c r="C549" s="35" t="s">
        <v>33</v>
      </c>
      <c r="D549" s="36">
        <v>1</v>
      </c>
      <c r="E549" s="3" t="str">
        <f>"AUDIOVISUALES - EQUP. INFOR"</f>
        <v>AUDIOVISUALES - EQUP. INFOR</v>
      </c>
      <c r="F549" s="2">
        <v>38739</v>
      </c>
      <c r="G549" s="7">
        <v>1763.75</v>
      </c>
      <c r="H549" s="7">
        <v>1763.75</v>
      </c>
      <c r="I549" s="30" t="s">
        <v>9</v>
      </c>
      <c r="J549" s="31">
        <v>1</v>
      </c>
    </row>
    <row r="550" spans="1:10" x14ac:dyDescent="0.25">
      <c r="A550" s="8">
        <v>45196</v>
      </c>
      <c r="B550" s="31" t="s">
        <v>50</v>
      </c>
      <c r="C550" s="35" t="s">
        <v>33</v>
      </c>
      <c r="D550" s="36">
        <v>1</v>
      </c>
      <c r="E550" s="3" t="str">
        <f>"AUDIOVISUALES - EQU. INF. DISE"</f>
        <v>AUDIOVISUALES - EQU. INF. DISE</v>
      </c>
      <c r="F550" s="2">
        <v>38804</v>
      </c>
      <c r="G550" s="7">
        <v>1791.98</v>
      </c>
      <c r="H550" s="7">
        <v>1791.98</v>
      </c>
      <c r="I550" s="30" t="s">
        <v>9</v>
      </c>
      <c r="J550" s="31">
        <v>1</v>
      </c>
    </row>
    <row r="551" spans="1:10" x14ac:dyDescent="0.25">
      <c r="A551" s="8">
        <v>45196</v>
      </c>
      <c r="B551" s="31" t="s">
        <v>50</v>
      </c>
      <c r="C551" s="35" t="s">
        <v>41</v>
      </c>
      <c r="D551" s="36">
        <v>1</v>
      </c>
      <c r="E551" s="3" t="str">
        <f>"22 GRADOS - SEGM. MED. DIGITAL"</f>
        <v>22 GRADOS - SEGM. MED. DIGITAL</v>
      </c>
      <c r="F551" s="2">
        <v>467</v>
      </c>
      <c r="G551" s="7">
        <v>2621.5</v>
      </c>
      <c r="H551" s="7">
        <v>2621.5</v>
      </c>
      <c r="I551" s="30" t="s">
        <v>9</v>
      </c>
      <c r="J551" s="31">
        <v>1</v>
      </c>
    </row>
    <row r="552" spans="1:10" x14ac:dyDescent="0.25">
      <c r="A552" s="8">
        <v>45196</v>
      </c>
      <c r="B552" s="31" t="s">
        <v>50</v>
      </c>
      <c r="C552" s="35" t="s">
        <v>41</v>
      </c>
      <c r="D552" s="36">
        <v>1</v>
      </c>
      <c r="E552" s="3" t="str">
        <f>"PROM. SAPEROCO - BOLSAS"</f>
        <v>PROM. SAPEROCO - BOLSAS</v>
      </c>
      <c r="F552" s="2">
        <v>38</v>
      </c>
      <c r="G552" s="7">
        <v>2758.46</v>
      </c>
      <c r="H552" s="7">
        <v>2758.46</v>
      </c>
      <c r="I552" s="30" t="s">
        <v>9</v>
      </c>
      <c r="J552" s="31">
        <v>1</v>
      </c>
    </row>
    <row r="553" spans="1:10" x14ac:dyDescent="0.25">
      <c r="A553" s="8">
        <v>45196</v>
      </c>
      <c r="B553" s="31" t="s">
        <v>50</v>
      </c>
      <c r="C553" s="35" t="s">
        <v>35</v>
      </c>
      <c r="D553" s="36">
        <v>15</v>
      </c>
      <c r="E553" s="3" t="str">
        <f>"SERV. AUD. OVERON - PROD."</f>
        <v>SERV. AUD. OVERON - PROD.</v>
      </c>
      <c r="F553" s="2">
        <v>103235</v>
      </c>
      <c r="G553" s="7">
        <v>3865</v>
      </c>
      <c r="H553" s="7">
        <v>3865</v>
      </c>
      <c r="I553" s="30" t="s">
        <v>9</v>
      </c>
      <c r="J553" s="31">
        <v>1</v>
      </c>
    </row>
    <row r="554" spans="1:10" x14ac:dyDescent="0.25">
      <c r="A554" s="8">
        <v>45196</v>
      </c>
      <c r="B554" s="31" t="s">
        <v>50</v>
      </c>
      <c r="C554" s="35" t="s">
        <v>34</v>
      </c>
      <c r="D554" s="36">
        <v>1</v>
      </c>
      <c r="E554" s="3" t="str">
        <f>"ACTURA ART Y COM - ACTUACION F"</f>
        <v>ACTURA ART Y COM - ACTUACION F</v>
      </c>
      <c r="F554" s="2">
        <v>3153</v>
      </c>
      <c r="G554" s="7">
        <v>3959</v>
      </c>
      <c r="H554" s="7">
        <v>3959</v>
      </c>
      <c r="I554" s="30" t="s">
        <v>9</v>
      </c>
      <c r="J554" s="31">
        <v>1</v>
      </c>
    </row>
    <row r="555" spans="1:10" x14ac:dyDescent="0.25">
      <c r="A555" s="8">
        <v>45196</v>
      </c>
      <c r="B555" s="31" t="s">
        <v>50</v>
      </c>
      <c r="C555" s="35" t="s">
        <v>40</v>
      </c>
      <c r="D555" s="36">
        <v>10</v>
      </c>
      <c r="E555" s="3" t="str">
        <f>"SERV. CAN. DE TRAD. - AZAFATAS"</f>
        <v>SERV. CAN. DE TRAD. - AZAFATAS</v>
      </c>
      <c r="F555" s="2">
        <v>283</v>
      </c>
      <c r="G555" s="7">
        <v>9589.19</v>
      </c>
      <c r="H555" s="7">
        <v>9589.19</v>
      </c>
      <c r="I555" s="30" t="s">
        <v>9</v>
      </c>
      <c r="J555" s="31">
        <v>1</v>
      </c>
    </row>
    <row r="556" spans="1:10" x14ac:dyDescent="0.25">
      <c r="A556" s="8">
        <v>45197</v>
      </c>
      <c r="B556" s="31" t="s">
        <v>15</v>
      </c>
      <c r="C556" s="35" t="s">
        <v>41</v>
      </c>
      <c r="D556" s="36">
        <v>1</v>
      </c>
      <c r="E556" s="3" t="str">
        <f>"SERICAN - VARIOS AUSTRIA"</f>
        <v>SERICAN - VARIOS AUSTRIA</v>
      </c>
      <c r="F556" s="2">
        <v>39456</v>
      </c>
      <c r="G556" s="7">
        <v>50.59</v>
      </c>
      <c r="H556" s="7">
        <v>50.59</v>
      </c>
      <c r="I556" s="30" t="s">
        <v>9</v>
      </c>
      <c r="J556" s="31">
        <v>1</v>
      </c>
    </row>
    <row r="557" spans="1:10" x14ac:dyDescent="0.25">
      <c r="A557" s="8">
        <v>45197</v>
      </c>
      <c r="B557" s="31" t="s">
        <v>12</v>
      </c>
      <c r="C557" s="35" t="s">
        <v>41</v>
      </c>
      <c r="D557" s="36">
        <v>1</v>
      </c>
      <c r="E557" s="3" t="str">
        <f>"PIXEL &amp; ME - MASDANZA"</f>
        <v>PIXEL &amp; ME - MASDANZA</v>
      </c>
      <c r="F557" s="2">
        <v>743</v>
      </c>
      <c r="G557" s="7">
        <v>393.76</v>
      </c>
      <c r="H557" s="7">
        <v>393.76</v>
      </c>
      <c r="I557" s="30" t="s">
        <v>9</v>
      </c>
      <c r="J557" s="31">
        <v>1</v>
      </c>
    </row>
    <row r="558" spans="1:10" x14ac:dyDescent="0.25">
      <c r="A558" s="8">
        <v>45197</v>
      </c>
      <c r="B558" s="31" t="s">
        <v>50</v>
      </c>
      <c r="C558" s="35" t="s">
        <v>29</v>
      </c>
      <c r="D558" s="36">
        <v>1</v>
      </c>
      <c r="E558" s="3" t="str">
        <f>"FACT. NEMESYS - GAST. PRODUCCI"</f>
        <v>FACT. NEMESYS - GAST. PRODUCCI</v>
      </c>
      <c r="F558" s="2">
        <v>25</v>
      </c>
      <c r="G558" s="7">
        <v>14035.02</v>
      </c>
      <c r="H558" s="7">
        <v>14035.02</v>
      </c>
      <c r="I558" s="30" t="s">
        <v>9</v>
      </c>
      <c r="J558" s="31">
        <v>1</v>
      </c>
    </row>
    <row r="559" spans="1:10" x14ac:dyDescent="0.25">
      <c r="A559" s="8">
        <v>45198</v>
      </c>
      <c r="B559" s="31" t="s">
        <v>11</v>
      </c>
      <c r="C559" s="35" t="s">
        <v>25</v>
      </c>
      <c r="D559" s="36">
        <v>1</v>
      </c>
      <c r="E559" s="3" t="str">
        <f>"VIAJES INSULAR - FORMACION"</f>
        <v>VIAJES INSULAR - FORMACION</v>
      </c>
      <c r="F559" s="2">
        <v>14001</v>
      </c>
      <c r="G559" s="7">
        <v>105.16</v>
      </c>
      <c r="H559" s="7">
        <v>105.16</v>
      </c>
      <c r="I559" s="30" t="s">
        <v>9</v>
      </c>
      <c r="J559" s="31">
        <v>1</v>
      </c>
    </row>
    <row r="560" spans="1:10" x14ac:dyDescent="0.25">
      <c r="A560" s="8">
        <v>45198</v>
      </c>
      <c r="B560" s="31" t="s">
        <v>13</v>
      </c>
      <c r="C560" s="35" t="s">
        <v>41</v>
      </c>
      <c r="D560" s="36">
        <v>1</v>
      </c>
      <c r="E560" s="3" t="str">
        <f>"REGLADE3 - TEATRO"</f>
        <v>REGLADE3 - TEATRO</v>
      </c>
      <c r="F560" s="2">
        <v>71</v>
      </c>
      <c r="G560" s="7">
        <v>267.5</v>
      </c>
      <c r="H560" s="7">
        <v>267.5</v>
      </c>
      <c r="I560" s="30" t="s">
        <v>9</v>
      </c>
      <c r="J560" s="31">
        <v>1</v>
      </c>
    </row>
    <row r="561" spans="1:10" x14ac:dyDescent="0.25">
      <c r="A561" s="8">
        <v>45198</v>
      </c>
      <c r="B561" s="31" t="s">
        <v>11</v>
      </c>
      <c r="C561" s="35" t="s">
        <v>21</v>
      </c>
      <c r="D561" s="36">
        <v>1</v>
      </c>
      <c r="E561" s="3" t="str">
        <f>"RC MARES VIRTUALES-CURSO AKRAM"</f>
        <v>RC MARES VIRTUALES-CURSO AKRAM</v>
      </c>
      <c r="F561" s="2">
        <v>216</v>
      </c>
      <c r="G561" s="7">
        <v>275</v>
      </c>
      <c r="H561" s="7">
        <v>275</v>
      </c>
      <c r="I561" s="30" t="s">
        <v>9</v>
      </c>
      <c r="J561" s="31">
        <v>1</v>
      </c>
    </row>
    <row r="562" spans="1:10" x14ac:dyDescent="0.25">
      <c r="A562" s="8">
        <v>45198</v>
      </c>
      <c r="B562" s="31" t="s">
        <v>13</v>
      </c>
      <c r="C562" s="35" t="s">
        <v>25</v>
      </c>
      <c r="D562" s="36">
        <v>1</v>
      </c>
      <c r="E562" s="3" t="str">
        <f>"VIAJES INSULAR - FORMACION"</f>
        <v>VIAJES INSULAR - FORMACION</v>
      </c>
      <c r="F562" s="2">
        <v>14000</v>
      </c>
      <c r="G562" s="7">
        <v>354.58</v>
      </c>
      <c r="H562" s="7">
        <v>354.58</v>
      </c>
      <c r="I562" s="30" t="s">
        <v>9</v>
      </c>
      <c r="J562" s="31">
        <v>1</v>
      </c>
    </row>
    <row r="563" spans="1:10" x14ac:dyDescent="0.25">
      <c r="A563" s="8">
        <v>45198</v>
      </c>
      <c r="B563" s="31" t="s">
        <v>13</v>
      </c>
      <c r="C563" s="35" t="s">
        <v>21</v>
      </c>
      <c r="D563" s="36">
        <v>1</v>
      </c>
      <c r="E563" s="3" t="str">
        <f>"RC MARES VIRTUALES-CURSOS"</f>
        <v>RC MARES VIRTUALES-CURSOS</v>
      </c>
      <c r="F563" s="2">
        <v>218</v>
      </c>
      <c r="G563" s="7">
        <v>555</v>
      </c>
      <c r="H563" s="7">
        <v>555</v>
      </c>
      <c r="I563" s="30" t="s">
        <v>9</v>
      </c>
      <c r="J563" s="31">
        <v>1</v>
      </c>
    </row>
    <row r="564" spans="1:10" x14ac:dyDescent="0.25">
      <c r="A564" s="8">
        <v>45198</v>
      </c>
      <c r="B564" s="31" t="s">
        <v>52</v>
      </c>
      <c r="C564" s="35" t="s">
        <v>32</v>
      </c>
      <c r="D564" s="36">
        <v>1</v>
      </c>
      <c r="E564" s="3" t="str">
        <f>"POWER 7 - VIGILANCIA"</f>
        <v>POWER 7 - VIGILANCIA</v>
      </c>
      <c r="F564" s="2">
        <v>63</v>
      </c>
      <c r="G564" s="7">
        <v>564.16</v>
      </c>
      <c r="H564" s="7">
        <v>564.16</v>
      </c>
      <c r="I564" s="30" t="s">
        <v>9</v>
      </c>
      <c r="J564" s="31">
        <v>1</v>
      </c>
    </row>
    <row r="565" spans="1:10" x14ac:dyDescent="0.25">
      <c r="A565" s="8">
        <v>45198</v>
      </c>
      <c r="B565" s="31" t="s">
        <v>50</v>
      </c>
      <c r="C565" s="35" t="s">
        <v>29</v>
      </c>
      <c r="D565" s="36">
        <v>20</v>
      </c>
      <c r="E565" s="3" t="str">
        <f>"MARIA ESTHER PEREZ-COORD. CIMA"</f>
        <v>MARIA ESTHER PEREZ-COORD. CIMA</v>
      </c>
      <c r="F565" s="2">
        <v>4</v>
      </c>
      <c r="G565" s="7">
        <v>920</v>
      </c>
      <c r="H565" s="7">
        <v>920</v>
      </c>
      <c r="I565" s="30" t="s">
        <v>9</v>
      </c>
      <c r="J565" s="31">
        <v>1</v>
      </c>
    </row>
    <row r="566" spans="1:10" x14ac:dyDescent="0.25">
      <c r="A566" s="8">
        <v>45198</v>
      </c>
      <c r="B566" s="31" t="s">
        <v>50</v>
      </c>
      <c r="C566" s="35" t="s">
        <v>29</v>
      </c>
      <c r="D566" s="36">
        <v>20</v>
      </c>
      <c r="E566" s="3" t="str">
        <f>"JARDINALIA- TRABAJ. PROYECCION"</f>
        <v>JARDINALIA- TRABAJ. PROYECCION</v>
      </c>
      <c r="F566" s="2">
        <v>106</v>
      </c>
      <c r="G566" s="7">
        <v>1500</v>
      </c>
      <c r="H566" s="7">
        <v>1500</v>
      </c>
      <c r="I566" s="30" t="s">
        <v>9</v>
      </c>
      <c r="J566" s="31">
        <v>1</v>
      </c>
    </row>
    <row r="567" spans="1:10" x14ac:dyDescent="0.25">
      <c r="A567" s="8">
        <v>45198</v>
      </c>
      <c r="B567" s="31" t="s">
        <v>50</v>
      </c>
      <c r="C567" s="35" t="s">
        <v>33</v>
      </c>
      <c r="D567" s="36">
        <v>7</v>
      </c>
      <c r="E567" s="3" t="str">
        <f>"KIMEDIA - MECAS"</f>
        <v>KIMEDIA - MECAS</v>
      </c>
      <c r="F567" s="2">
        <v>88</v>
      </c>
      <c r="G567" s="7">
        <v>1605</v>
      </c>
      <c r="H567" s="7">
        <v>1605</v>
      </c>
      <c r="I567" s="30" t="s">
        <v>9</v>
      </c>
      <c r="J567" s="31">
        <v>1</v>
      </c>
    </row>
    <row r="568" spans="1:10" x14ac:dyDescent="0.25">
      <c r="A568" s="8">
        <v>45198</v>
      </c>
      <c r="B568" s="31" t="s">
        <v>50</v>
      </c>
      <c r="C568" s="35" t="s">
        <v>29</v>
      </c>
      <c r="D568" s="36">
        <v>20</v>
      </c>
      <c r="E568" s="3" t="str">
        <f>"JAIME JOSE PENA-COMISARIADO"</f>
        <v>JAIME JOSE PENA-COMISARIADO</v>
      </c>
      <c r="F568" s="2">
        <v>1</v>
      </c>
      <c r="G568" s="7">
        <v>1700</v>
      </c>
      <c r="H568" s="7">
        <v>1700</v>
      </c>
      <c r="I568" s="30" t="s">
        <v>9</v>
      </c>
      <c r="J568" s="31">
        <v>1</v>
      </c>
    </row>
    <row r="569" spans="1:10" x14ac:dyDescent="0.25">
      <c r="A569" s="8">
        <v>45198</v>
      </c>
      <c r="B569" s="31" t="s">
        <v>50</v>
      </c>
      <c r="C569" s="35" t="s">
        <v>29</v>
      </c>
      <c r="D569" s="36">
        <v>20</v>
      </c>
      <c r="E569" s="3" t="str">
        <f>"VIOLETA KOVACSICS-SERVICIOS"</f>
        <v>VIOLETA KOVACSICS-SERVICIOS</v>
      </c>
      <c r="F569" s="2">
        <v>7</v>
      </c>
      <c r="G569" s="7">
        <v>1870</v>
      </c>
      <c r="H569" s="7">
        <v>1870</v>
      </c>
      <c r="I569" s="30" t="s">
        <v>9</v>
      </c>
      <c r="J569" s="31">
        <v>1</v>
      </c>
    </row>
    <row r="570" spans="1:10" x14ac:dyDescent="0.25">
      <c r="A570" s="8">
        <v>45198</v>
      </c>
      <c r="B570" s="31" t="s">
        <v>50</v>
      </c>
      <c r="C570" s="35" t="s">
        <v>29</v>
      </c>
      <c r="D570" s="36">
        <v>20</v>
      </c>
      <c r="E570" s="3" t="str">
        <f>"ELODIE MELLADO-COMITE PROGRAM."</f>
        <v>ELODIE MELLADO-COMITE PROGRAM.</v>
      </c>
      <c r="F570" s="2">
        <v>2</v>
      </c>
      <c r="G570" s="7">
        <v>1870</v>
      </c>
      <c r="H570" s="7">
        <v>1870</v>
      </c>
      <c r="I570" s="30" t="s">
        <v>9</v>
      </c>
      <c r="J570" s="31">
        <v>1</v>
      </c>
    </row>
    <row r="571" spans="1:10" x14ac:dyDescent="0.25">
      <c r="A571" s="8">
        <v>45198</v>
      </c>
      <c r="B571" s="31" t="s">
        <v>50</v>
      </c>
      <c r="C571" s="35" t="s">
        <v>83</v>
      </c>
      <c r="D571" s="36">
        <v>365</v>
      </c>
      <c r="E571" s="3" t="str">
        <f>"CLUSTER AUDV. - CUOTA ANUAL"</f>
        <v>CLUSTER AUDV. - CUOTA ANUAL</v>
      </c>
      <c r="F571" s="2">
        <v>7</v>
      </c>
      <c r="G571" s="7">
        <v>2400</v>
      </c>
      <c r="H571" s="7">
        <v>2400</v>
      </c>
      <c r="I571" s="30" t="s">
        <v>9</v>
      </c>
      <c r="J571" s="31">
        <v>1</v>
      </c>
    </row>
    <row r="572" spans="1:10" x14ac:dyDescent="0.25">
      <c r="A572" s="8">
        <v>45198</v>
      </c>
      <c r="B572" s="31" t="s">
        <v>50</v>
      </c>
      <c r="C572" s="35" t="s">
        <v>29</v>
      </c>
      <c r="D572" s="36">
        <v>20</v>
      </c>
      <c r="E572" s="3" t="str">
        <f>"IRENE PERERA- PRODUCC. MECAS"</f>
        <v>IRENE PERERA- PRODUCC. MECAS</v>
      </c>
      <c r="F572" s="2">
        <v>1</v>
      </c>
      <c r="G572" s="7">
        <v>2790</v>
      </c>
      <c r="H572" s="7">
        <v>2790</v>
      </c>
      <c r="I572" s="30" t="s">
        <v>9</v>
      </c>
      <c r="J572" s="31">
        <v>1</v>
      </c>
    </row>
    <row r="573" spans="1:10" x14ac:dyDescent="0.25">
      <c r="A573" s="8">
        <v>45198</v>
      </c>
      <c r="B573" s="31" t="s">
        <v>50</v>
      </c>
      <c r="C573" s="35" t="s">
        <v>29</v>
      </c>
      <c r="D573" s="36">
        <v>20</v>
      </c>
      <c r="E573" s="3" t="str">
        <f>"ALEJANDRO MORAN-SERV.GRABACION"</f>
        <v>ALEJANDRO MORAN-SERV.GRABACION</v>
      </c>
      <c r="F573" s="2">
        <v>13</v>
      </c>
      <c r="G573" s="7">
        <v>2898</v>
      </c>
      <c r="H573" s="7">
        <v>2898</v>
      </c>
      <c r="I573" s="30" t="s">
        <v>9</v>
      </c>
      <c r="J573" s="31">
        <v>1</v>
      </c>
    </row>
    <row r="574" spans="1:10" x14ac:dyDescent="0.25">
      <c r="A574" s="8">
        <v>45198</v>
      </c>
      <c r="B574" s="31" t="s">
        <v>50</v>
      </c>
      <c r="C574" s="35" t="s">
        <v>33</v>
      </c>
      <c r="D574" s="36">
        <v>2</v>
      </c>
      <c r="E574" s="3" t="str">
        <f>"KIMEDIA - STREAMING"</f>
        <v>KIMEDIA - STREAMING</v>
      </c>
      <c r="F574" s="2">
        <v>89</v>
      </c>
      <c r="G574" s="7">
        <v>4654.5</v>
      </c>
      <c r="H574" s="7">
        <v>4654.5</v>
      </c>
      <c r="I574" s="30" t="s">
        <v>9</v>
      </c>
      <c r="J574" s="31">
        <v>1</v>
      </c>
    </row>
    <row r="575" spans="1:10" x14ac:dyDescent="0.25">
      <c r="A575" s="8">
        <v>45198</v>
      </c>
      <c r="B575" s="31" t="s">
        <v>50</v>
      </c>
      <c r="C575" s="35" t="s">
        <v>72</v>
      </c>
      <c r="D575" s="36">
        <v>1</v>
      </c>
      <c r="E575" s="3" t="str">
        <f>"SUBSEA MECHATRONIC - PREMIOS"</f>
        <v>SUBSEA MECHATRONIC - PREMIOS</v>
      </c>
      <c r="F575" s="2">
        <v>24</v>
      </c>
      <c r="G575" s="7">
        <v>10541.21</v>
      </c>
      <c r="H575" s="7">
        <v>10541.21</v>
      </c>
      <c r="I575" s="30" t="s">
        <v>9</v>
      </c>
      <c r="J575" s="31">
        <v>1</v>
      </c>
    </row>
  </sheetData>
  <sortState xmlns:xlrd2="http://schemas.microsoft.com/office/spreadsheetml/2017/richdata2" ref="A287:J396">
    <sortCondition ref="A287:A396"/>
  </sortState>
  <mergeCells count="1">
    <mergeCell ref="A3:J3"/>
  </mergeCells>
  <pageMargins left="0.70866141732283472" right="0.70866141732283472" top="0.74803149606299213" bottom="0.74803149606299213" header="0.31496062992125984" footer="0.31496062992125984"/>
  <pageSetup paperSize="9" scale="38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3º TRIMESTRE</vt:lpstr>
      <vt:lpstr>'3º TRIMESTRE'!Área_de_impresión</vt:lpstr>
      <vt:lpstr>'3º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2024-02-20T16:23:55Z</cp:lastPrinted>
  <dcterms:created xsi:type="dcterms:W3CDTF">2023-12-19T09:11:53Z</dcterms:created>
  <dcterms:modified xsi:type="dcterms:W3CDTF">2024-03-12T17:17:54Z</dcterms:modified>
</cp:coreProperties>
</file>